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202300"/>
  <mc:AlternateContent xmlns:mc="http://schemas.openxmlformats.org/markup-compatibility/2006">
    <mc:Choice Requires="x15">
      <x15ac:absPath xmlns:x15ac="http://schemas.microsoft.com/office/spreadsheetml/2010/11/ac" url="C:\Users\Sanjeev\AppData\Local\Microsoft\Windows\INetCache\Content.Outlook\OURPTOHB\"/>
    </mc:Choice>
  </mc:AlternateContent>
  <xr:revisionPtr revIDLastSave="0" documentId="13_ncr:1_{C8BCE1B6-9E0C-4EC4-A4B5-3DADDBDD2A48}" xr6:coauthVersionLast="47" xr6:coauthVersionMax="47" xr10:uidLastSave="{00000000-0000-0000-0000-000000000000}"/>
  <bookViews>
    <workbookView xWindow="-116" yWindow="-116" windowWidth="24917" windowHeight="13410" tabRatio="876" xr2:uid="{364C51FF-73FB-4451-9C1B-5CA7096116BC}"/>
  </bookViews>
  <sheets>
    <sheet name="Abstract" sheetId="6" r:id="rId1"/>
    <sheet name="Toll Plaza" sheetId="1" r:id="rId2"/>
    <sheet name="Toilet Block Drawing" sheetId="4" r:id="rId3"/>
    <sheet name="Annexure I" sheetId="7" r:id="rId4"/>
    <sheet name="Drain Drawing" sheetId="3" r:id="rId5"/>
    <sheet name="BBS for boundary wall" sheetId="8" r:id="rId6"/>
  </sheets>
  <externalReferences>
    <externalReference r:id="rId7"/>
    <externalReference r:id="rId8"/>
    <externalReference r:id="rId9"/>
    <externalReference r:id="rId10"/>
    <externalReference r:id="rId11"/>
  </externalReferences>
  <definedNames>
    <definedName name="\0" localSheetId="5">#REF!</definedName>
    <definedName name="\0">#REF!</definedName>
    <definedName name="\p" localSheetId="5">#REF!</definedName>
    <definedName name="\p">#REF!</definedName>
    <definedName name="_5.0_Hire_and_running_charges_of_winch___grab" localSheetId="5">[1]SOR!#REF!</definedName>
    <definedName name="_5.0_Hire_and_running_charges_of_winch___grab">[1]SOR!#REF!</definedName>
    <definedName name="_Fill" localSheetId="5" hidden="1">[2]BHANDUP!#REF!</definedName>
    <definedName name="_Fill" hidden="1">[2]BHANDUP!#REF!</definedName>
    <definedName name="_xlnm._FilterDatabase" localSheetId="0" hidden="1">Abstract!$A$5:$I$58</definedName>
    <definedName name="_xlnm._FilterDatabase" localSheetId="5" hidden="1">#REF!</definedName>
    <definedName name="_xlnm._FilterDatabase" hidden="1">#REF!</definedName>
    <definedName name="_Order1" hidden="1">255</definedName>
    <definedName name="_Order2" hidden="1">0</definedName>
    <definedName name="a" localSheetId="5">#REF!</definedName>
    <definedName name="a">#REF!</definedName>
    <definedName name="a._Trimmer" localSheetId="5">[1]SOR!#REF!</definedName>
    <definedName name="a._Trimmer">[1]SOR!#REF!</definedName>
    <definedName name="a__Labour_charges_for_cutting_bending__welding_including_materials." localSheetId="5">[1]SOR!#REF!</definedName>
    <definedName name="a__Labour_charges_for_cutting_bending__welding_including_materials.">[1]SOR!#REF!</definedName>
    <definedName name="abc" localSheetId="5">#REF!</definedName>
    <definedName name="abc">#REF!</definedName>
    <definedName name="Analysis" localSheetId="0">#REF!</definedName>
    <definedName name="Analysis" localSheetId="5">#REF!</definedName>
    <definedName name="Analysis">#REF!</definedName>
    <definedName name="Batching_hot_mix_plant" localSheetId="5">[1]SOR!#REF!</definedName>
    <definedName name="Batching_hot_mix_plant">[1]SOR!#REF!</definedName>
    <definedName name="BC" localSheetId="5">#REF!</definedName>
    <definedName name="BC">#REF!</definedName>
    <definedName name="BM" localSheetId="5">#REF!</definedName>
    <definedName name="BM">#REF!</definedName>
    <definedName name="BOQ" localSheetId="0">#REF!</definedName>
    <definedName name="BOQ" localSheetId="5">#REF!</definedName>
    <definedName name="BOQ">#REF!</definedName>
    <definedName name="bu" localSheetId="5" hidden="1">{"'Sheet1'!$A$4386:$N$4591"}</definedName>
    <definedName name="bu" hidden="1">{"'Sheet1'!$A$4386:$N$4591"}</definedName>
    <definedName name="CAPAPR" localSheetId="5">#REF!</definedName>
    <definedName name="CAPAPR">#REF!</definedName>
    <definedName name="CAPAUG" localSheetId="5">#REF!</definedName>
    <definedName name="CAPAUG">#REF!</definedName>
    <definedName name="CAPDEC" localSheetId="5">#REF!</definedName>
    <definedName name="CAPDEC">#REF!</definedName>
    <definedName name="CAPFEB" localSheetId="5">#REF!</definedName>
    <definedName name="CAPFEB">#REF!</definedName>
    <definedName name="CAPJAN" localSheetId="5">#REF!</definedName>
    <definedName name="CAPJAN">#REF!</definedName>
    <definedName name="CAPJUL" localSheetId="5">#REF!</definedName>
    <definedName name="CAPJUL">#REF!</definedName>
    <definedName name="CAPJUN" localSheetId="5">#REF!</definedName>
    <definedName name="CAPJUN">#REF!</definedName>
    <definedName name="CAPMAR" localSheetId="5">#REF!</definedName>
    <definedName name="CAPMAR">#REF!</definedName>
    <definedName name="CAPMAY" localSheetId="5">#REF!</definedName>
    <definedName name="CAPMAY">#REF!</definedName>
    <definedName name="CAPNOV" localSheetId="5">#REF!</definedName>
    <definedName name="CAPNOV">#REF!</definedName>
    <definedName name="CAPOCT" localSheetId="5">#REF!</definedName>
    <definedName name="CAPOCT">#REF!</definedName>
    <definedName name="CAPSEP" localSheetId="5">#REF!</definedName>
    <definedName name="CAPSEP">#REF!</definedName>
    <definedName name="cascrente" localSheetId="5">#REF!</definedName>
    <definedName name="cascrente">#REF!</definedName>
    <definedName name="Charges_of_road_roller" localSheetId="5">[1]SOR!#REF!</definedName>
    <definedName name="Charges_of_road_roller">[1]SOR!#REF!</definedName>
    <definedName name="_xlnm.Consolidate_Area">#N/A</definedName>
    <definedName name="Cost_for_10_Hp_Hr." localSheetId="5">[1]SOR!#REF!</definedName>
    <definedName name="Cost_for_10_Hp_Hr.">[1]SOR!#REF!</definedName>
    <definedName name="Cost_of_water_including_filling_the_tanker" localSheetId="5">[1]SOR!#REF!</definedName>
    <definedName name="Cost_of_water_including_filling_the_tanker">[1]SOR!#REF!</definedName>
    <definedName name="Cover_blocks" localSheetId="5">[1]SOR!#REF!</definedName>
    <definedName name="Cover_blocks">[1]SOR!#REF!</definedName>
    <definedName name="d" localSheetId="5">[3]Manpower!#REF!</definedName>
    <definedName name="d">[3]Manpower!#REF!</definedName>
    <definedName name="d._Staging_to_keep_deflactometer___hire_charges_of_deflectometer" localSheetId="5">[1]SOR!#REF!</definedName>
    <definedName name="d._Staging_to_keep_deflactometer___hire_charges_of_deflectometer">[1]SOR!#REF!</definedName>
    <definedName name="_xlnm.Database" localSheetId="5">#REF!</definedName>
    <definedName name="_xlnm.Database">#REF!</definedName>
    <definedName name="DBM" localSheetId="5">#REF!</definedName>
    <definedName name="DBM">#REF!</definedName>
    <definedName name="DHTML" localSheetId="5" hidden="1">{"'Sheet1'!$A$4386:$N$4591"}</definedName>
    <definedName name="DHTML" hidden="1">{"'Sheet1'!$A$4386:$N$4591"}</definedName>
    <definedName name="drains" localSheetId="5">#REF!</definedName>
    <definedName name="drains">#REF!</definedName>
    <definedName name="Embankment" localSheetId="5">#REF!</definedName>
    <definedName name="Embankment">#REF!</definedName>
    <definedName name="Engineer">[4]Manpower!$D$9</definedName>
    <definedName name="Excavation" localSheetId="5">#REF!</definedName>
    <definedName name="Excavation">#REF!</definedName>
    <definedName name="gfj" localSheetId="5" hidden="1">{"'Sheet1'!$A$4386:$N$4591"}</definedName>
    <definedName name="gfj" hidden="1">{"'Sheet1'!$A$4386:$N$4591"}</definedName>
    <definedName name="GSB" localSheetId="5">#REF!</definedName>
    <definedName name="GSB">#REF!</definedName>
    <definedName name="gvhg" localSheetId="5">[1]SOR!#REF!</definedName>
    <definedName name="gvhg">[1]SOR!#REF!</definedName>
    <definedName name="HighSkilled" localSheetId="5">[5]Manpower!#REF!</definedName>
    <definedName name="HighSkilled">[5]Manpower!#REF!</definedName>
    <definedName name="HTML_CodePage" hidden="1">1252</definedName>
    <definedName name="HTML_Control" localSheetId="5" hidden="1">{"'Sheet1'!$A$4386:$N$4591"}</definedName>
    <definedName name="HTML_Control" hidden="1">{"'Sheet1'!$A$4386:$N$4591"}</definedName>
    <definedName name="HTML_Description" hidden="1">""</definedName>
    <definedName name="HTML_Email" hidden="1">""</definedName>
    <definedName name="HTML_Header" hidden="1">"Sheet1"</definedName>
    <definedName name="HTML_LastUpdate" hidden="1">"7/1/03"</definedName>
    <definedName name="HTML_LineAfter" hidden="1">FALSE</definedName>
    <definedName name="HTML_LineBefore" hidden="1">FALSE</definedName>
    <definedName name="HTML_Name" hidden="1">"m.p.raval"</definedName>
    <definedName name="HTML_OBDlg2" hidden="1">TRUE</definedName>
    <definedName name="HTML_OBDlg4" hidden="1">TRUE</definedName>
    <definedName name="HTML_OS" hidden="1">0</definedName>
    <definedName name="HTML_PathFile" hidden="1">"A:\MyHTML.htm"</definedName>
    <definedName name="HTML_Title" hidden="1">"SGSDaily Progress Report Piyaj toDharoi Pipeline"</definedName>
    <definedName name="JrEngineer" localSheetId="5">[5]Manpower!#REF!</definedName>
    <definedName name="JrEngineer">[5]Manpower!#REF!</definedName>
    <definedName name="LACS">[2]PLAN_FEB97!$A$2</definedName>
    <definedName name="M_25_box_Culvert" localSheetId="0">#REF!</definedName>
    <definedName name="M_25_box_Culvert" localSheetId="5">#REF!</definedName>
    <definedName name="M_25_box_Culvert">#REF!</definedName>
    <definedName name="Manager">[4]Manpower!$D$4</definedName>
    <definedName name="Median" localSheetId="5">#REF!</definedName>
    <definedName name="Median">#REF!</definedName>
    <definedName name="PCC" localSheetId="5">#REF!</definedName>
    <definedName name="PCC">#REF!</definedName>
    <definedName name="_xlnm.Print_Area" localSheetId="0">Abstract!$A$1:$G$65</definedName>
    <definedName name="_xlnm.Print_Area" localSheetId="1">'Toll Plaza'!$A$1:$K$194</definedName>
    <definedName name="Print_Area_MI" localSheetId="0">#REF!</definedName>
    <definedName name="Print_Area_MI" localSheetId="5">#REF!</definedName>
    <definedName name="Print_Area_MI">#REF!</definedName>
    <definedName name="_xlnm.Print_Titles" localSheetId="0">Abstract!$2:$5</definedName>
    <definedName name="_xlnm.Print_Titles" localSheetId="5">'BBS for boundary wall'!$1:$3</definedName>
    <definedName name="_xlnm.Print_Titles" localSheetId="1">'Toll Plaza'!$2:$4</definedName>
    <definedName name="sadrfsr" localSheetId="5">#REF!</definedName>
    <definedName name="sadrfsr">#REF!</definedName>
    <definedName name="SemiSkilled" localSheetId="5">[5]Manpower!#REF!</definedName>
    <definedName name="SemiSkilled">[5]Manpower!#REF!</definedName>
    <definedName name="Shoulder" localSheetId="5">#REF!</definedName>
    <definedName name="Shoulder">#REF!</definedName>
    <definedName name="Skilled">[4]Manpower!$D$12</definedName>
    <definedName name="Subgrade" localSheetId="5">#REF!</definedName>
    <definedName name="Subgrade">#REF!</definedName>
    <definedName name="sumana" localSheetId="0">#REF!</definedName>
    <definedName name="sumana" localSheetId="5">#REF!</definedName>
    <definedName name="sumana">#REF!</definedName>
    <definedName name="Supervisor" localSheetId="5">[5]Manpower!#REF!</definedName>
    <definedName name="Supervisor">[5]Manpower!#REF!</definedName>
    <definedName name="t" localSheetId="5">#REF!</definedName>
    <definedName name="t">#REF!</definedName>
    <definedName name="TaxTV">10%</definedName>
    <definedName name="TaxXL">5%</definedName>
    <definedName name="Unskilled" localSheetId="5">[5]Manpower!#REF!</definedName>
    <definedName name="Unskilled">[5]Manpower!#REF!</definedName>
    <definedName name="WMM" localSheetId="5">#REF!</definedName>
    <definedName name="WMM">#REF!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7" l="1"/>
  <c r="G14" i="7"/>
  <c r="D36" i="6"/>
  <c r="D37" i="6"/>
  <c r="D38" i="6"/>
  <c r="D39" i="6"/>
  <c r="D40" i="6"/>
  <c r="D41" i="6"/>
  <c r="D42" i="6"/>
  <c r="D43" i="6"/>
  <c r="D44" i="6"/>
  <c r="D45" i="6"/>
  <c r="D46" i="6"/>
  <c r="D35" i="6"/>
  <c r="I146" i="1"/>
  <c r="I145" i="1"/>
  <c r="I144" i="1"/>
  <c r="I143" i="1"/>
  <c r="I142" i="1"/>
  <c r="I141" i="1"/>
  <c r="I140" i="1"/>
  <c r="I139" i="1"/>
  <c r="I138" i="1"/>
  <c r="I137" i="1"/>
  <c r="I136" i="1"/>
  <c r="I135" i="1"/>
  <c r="I134" i="1"/>
  <c r="F35" i="6" l="1"/>
  <c r="F46" i="6"/>
  <c r="F42" i="6"/>
  <c r="F43" i="6"/>
  <c r="F37" i="6"/>
  <c r="F41" i="6"/>
  <c r="F45" i="6"/>
  <c r="F44" i="6"/>
  <c r="F40" i="6"/>
  <c r="F39" i="6"/>
  <c r="F38" i="6"/>
  <c r="F36" i="6" l="1"/>
  <c r="N7" i="3"/>
  <c r="O10" i="3"/>
  <c r="O7" i="3" s="1"/>
  <c r="Q9" i="3"/>
  <c r="Q8" i="3"/>
  <c r="L59" i="1"/>
  <c r="Q10" i="3" l="1"/>
  <c r="Q7" i="3"/>
  <c r="Q11" i="3" l="1"/>
  <c r="G4" i="8"/>
  <c r="E152" i="1"/>
  <c r="E159" i="1" s="1"/>
  <c r="E166" i="1" s="1"/>
  <c r="L111" i="1"/>
  <c r="E167" i="1" l="1"/>
  <c r="E169" i="1"/>
  <c r="F28" i="1" l="1"/>
  <c r="F29" i="1"/>
  <c r="F30" i="1"/>
  <c r="F31" i="1"/>
  <c r="F32" i="1"/>
  <c r="F27" i="1"/>
  <c r="H28" i="1"/>
  <c r="H29" i="1"/>
  <c r="H30" i="1"/>
  <c r="H31" i="1"/>
  <c r="H32" i="1"/>
  <c r="H27" i="1"/>
  <c r="I192" i="1" l="1"/>
  <c r="K193" i="1" s="1"/>
  <c r="D55" i="6" s="1"/>
  <c r="F55" i="6" s="1"/>
  <c r="E12" i="8"/>
  <c r="G12" i="8" s="1"/>
  <c r="J12" i="8" s="1"/>
  <c r="E11" i="8"/>
  <c r="G11" i="8" s="1"/>
  <c r="J11" i="8" s="1"/>
  <c r="E9" i="8"/>
  <c r="G9" i="8" s="1"/>
  <c r="J9" i="8" s="1"/>
  <c r="E8" i="8"/>
  <c r="G8" i="8" s="1"/>
  <c r="J8" i="8" s="1"/>
  <c r="I13" i="8"/>
  <c r="G13" i="8"/>
  <c r="J13" i="8" s="1"/>
  <c r="F13" i="8"/>
  <c r="E13" i="8"/>
  <c r="I12" i="8"/>
  <c r="I11" i="8"/>
  <c r="I10" i="8"/>
  <c r="G10" i="8"/>
  <c r="J10" i="8" s="1"/>
  <c r="F10" i="8"/>
  <c r="E10" i="8"/>
  <c r="I9" i="8"/>
  <c r="I8" i="8"/>
  <c r="I7" i="8"/>
  <c r="G7" i="8"/>
  <c r="J7" i="8" s="1"/>
  <c r="F7" i="8"/>
  <c r="E7" i="8"/>
  <c r="A7" i="8"/>
  <c r="A8" i="8" s="1"/>
  <c r="A9" i="8" s="1"/>
  <c r="A10" i="8" s="1"/>
  <c r="A11" i="8" s="1"/>
  <c r="A12" i="8" s="1"/>
  <c r="A13" i="8" s="1"/>
  <c r="I6" i="8"/>
  <c r="E6" i="8"/>
  <c r="G6" i="8" s="1"/>
  <c r="J6" i="8" s="1"/>
  <c r="A6" i="8"/>
  <c r="I5" i="8"/>
  <c r="F5" i="8"/>
  <c r="G5" i="8" s="1"/>
  <c r="J5" i="8" s="1"/>
  <c r="E5" i="8"/>
  <c r="A5" i="8"/>
  <c r="I4" i="8"/>
  <c r="F4" i="8"/>
  <c r="E4" i="8"/>
  <c r="J4" i="8" s="1"/>
  <c r="I186" i="1"/>
  <c r="I185" i="1"/>
  <c r="I181" i="1"/>
  <c r="I180" i="1"/>
  <c r="H174" i="1"/>
  <c r="H176" i="1" s="1"/>
  <c r="I170" i="1"/>
  <c r="I168" i="1"/>
  <c r="I167" i="1"/>
  <c r="I166" i="1"/>
  <c r="I160" i="1"/>
  <c r="E162" i="1"/>
  <c r="I153" i="1"/>
  <c r="E155" i="1"/>
  <c r="I155" i="1" s="1"/>
  <c r="K187" i="1" l="1"/>
  <c r="D53" i="6" s="1"/>
  <c r="F53" i="6" s="1"/>
  <c r="I162" i="1"/>
  <c r="E176" i="1"/>
  <c r="I174" i="1"/>
  <c r="K182" i="1"/>
  <c r="D52" i="6" s="1"/>
  <c r="F52" i="6" s="1"/>
  <c r="I152" i="1"/>
  <c r="K156" i="1" s="1"/>
  <c r="D48" i="6" s="1"/>
  <c r="F48" i="6" s="1"/>
  <c r="I159" i="1"/>
  <c r="J14" i="8"/>
  <c r="I189" i="1" s="1"/>
  <c r="K190" i="1" s="1"/>
  <c r="I169" i="1"/>
  <c r="D54" i="6" l="1"/>
  <c r="F54" i="6" s="1"/>
  <c r="K163" i="1"/>
  <c r="D49" i="6" s="1"/>
  <c r="F49" i="6" s="1"/>
  <c r="K171" i="1"/>
  <c r="D50" i="6" s="1"/>
  <c r="F50" i="6" s="1"/>
  <c r="I176" i="1"/>
  <c r="K177" i="1" s="1"/>
  <c r="D51" i="6" s="1"/>
  <c r="F51" i="6" s="1"/>
  <c r="F113" i="1" l="1"/>
  <c r="I113" i="1" s="1"/>
  <c r="C20" i="6"/>
  <c r="F47" i="6"/>
  <c r="F114" i="1" l="1"/>
  <c r="I114" i="1" s="1"/>
  <c r="K115" i="1" s="1"/>
  <c r="D28" i="6" s="1"/>
  <c r="F28" i="6" s="1"/>
  <c r="F117" i="1"/>
  <c r="F118" i="1" s="1"/>
  <c r="I6" i="1"/>
  <c r="F101" i="1"/>
  <c r="I148" i="1"/>
  <c r="K148" i="1" s="1"/>
  <c r="D34" i="6" s="1"/>
  <c r="F34" i="6" s="1"/>
  <c r="G15" i="7"/>
  <c r="G13" i="7"/>
  <c r="G12" i="7"/>
  <c r="G11" i="7"/>
  <c r="G10" i="7"/>
  <c r="G9" i="7"/>
  <c r="G8" i="7"/>
  <c r="G7" i="7"/>
  <c r="G6" i="7"/>
  <c r="G5" i="7"/>
  <c r="G4" i="7"/>
  <c r="B5" i="7"/>
  <c r="B6" i="7" s="1"/>
  <c r="B7" i="7" s="1"/>
  <c r="B8" i="7" s="1"/>
  <c r="B9" i="7" s="1"/>
  <c r="B10" i="7" s="1"/>
  <c r="B11" i="7" s="1"/>
  <c r="B12" i="7" s="1"/>
  <c r="J61" i="4"/>
  <c r="J62" i="4"/>
  <c r="J63" i="4"/>
  <c r="J64" i="4"/>
  <c r="J65" i="4"/>
  <c r="J66" i="4"/>
  <c r="J67" i="4"/>
  <c r="J68" i="4"/>
  <c r="J69" i="4"/>
  <c r="J70" i="4"/>
  <c r="J71" i="4"/>
  <c r="J72" i="4"/>
  <c r="J73" i="4"/>
  <c r="J74" i="4"/>
  <c r="J75" i="4"/>
  <c r="J76" i="4"/>
  <c r="J77" i="4"/>
  <c r="J78" i="4"/>
  <c r="J79" i="4"/>
  <c r="J80" i="4"/>
  <c r="J81" i="4"/>
  <c r="J82" i="4"/>
  <c r="J83" i="4"/>
  <c r="J60" i="4"/>
  <c r="M85" i="1"/>
  <c r="M84" i="1"/>
  <c r="B14" i="7" l="1"/>
  <c r="B15" i="7" s="1"/>
  <c r="G16" i="7"/>
  <c r="F26" i="6"/>
  <c r="F22" i="6"/>
  <c r="F15" i="6"/>
  <c r="A8" i="6"/>
  <c r="A9" i="6" s="1"/>
  <c r="A10" i="6" s="1"/>
  <c r="A12" i="6" s="1"/>
  <c r="A13" i="6" l="1"/>
  <c r="A14" i="6" s="1"/>
  <c r="A16" i="6" s="1"/>
  <c r="A17" i="6" s="1"/>
  <c r="A18" i="6" s="1"/>
  <c r="A19" i="6" s="1"/>
  <c r="A20" i="6" s="1"/>
  <c r="A21" i="6" s="1"/>
  <c r="A23" i="6" s="1"/>
  <c r="A24" i="6" s="1"/>
  <c r="A25" i="6" s="1"/>
  <c r="I131" i="1"/>
  <c r="I128" i="1"/>
  <c r="I130" i="1"/>
  <c r="I129" i="1"/>
  <c r="I127" i="1"/>
  <c r="I126" i="1"/>
  <c r="I125" i="1"/>
  <c r="I123" i="1"/>
  <c r="K123" i="1" s="1"/>
  <c r="D32" i="6" s="1"/>
  <c r="F32" i="6" s="1"/>
  <c r="I72" i="1"/>
  <c r="Q83" i="4"/>
  <c r="Q82" i="4"/>
  <c r="Q81" i="4"/>
  <c r="Q80" i="4"/>
  <c r="Q79" i="4"/>
  <c r="Q78" i="4"/>
  <c r="Q77" i="4"/>
  <c r="Q76" i="4"/>
  <c r="Q75" i="4"/>
  <c r="Q74" i="4"/>
  <c r="Q73" i="4"/>
  <c r="Q72" i="4"/>
  <c r="Q71" i="4"/>
  <c r="Q70" i="4"/>
  <c r="Q69" i="4"/>
  <c r="Q68" i="4"/>
  <c r="Q67" i="4"/>
  <c r="Q66" i="4"/>
  <c r="Q65" i="4"/>
  <c r="Q64" i="4"/>
  <c r="Q63" i="4"/>
  <c r="Q62" i="4"/>
  <c r="Q61" i="4"/>
  <c r="Q60" i="4"/>
  <c r="H83" i="4"/>
  <c r="H82" i="4"/>
  <c r="H81" i="4"/>
  <c r="H80" i="4"/>
  <c r="H79" i="4"/>
  <c r="H78" i="4"/>
  <c r="H77" i="4"/>
  <c r="H76" i="4"/>
  <c r="H75" i="4"/>
  <c r="H74" i="4"/>
  <c r="H73" i="4"/>
  <c r="H72" i="4"/>
  <c r="H71" i="4"/>
  <c r="H70" i="4"/>
  <c r="H69" i="4"/>
  <c r="H68" i="4"/>
  <c r="H67" i="4"/>
  <c r="H66" i="4"/>
  <c r="H65" i="4"/>
  <c r="H64" i="4"/>
  <c r="H63" i="4"/>
  <c r="H62" i="4"/>
  <c r="H61" i="4"/>
  <c r="H60" i="4"/>
  <c r="A27" i="6" l="1"/>
  <c r="A28" i="6" s="1"/>
  <c r="A29" i="6" s="1"/>
  <c r="A30" i="6" s="1"/>
  <c r="A31" i="6" s="1"/>
  <c r="A32" i="6" s="1"/>
  <c r="A33" i="6" s="1"/>
  <c r="A34" i="6" s="1"/>
  <c r="I133" i="1"/>
  <c r="K146" i="1" s="1"/>
  <c r="P43" i="4"/>
  <c r="Q56" i="4"/>
  <c r="P56" i="4"/>
  <c r="P50" i="4"/>
  <c r="Q54" i="4" s="1"/>
  <c r="O45" i="4"/>
  <c r="O46" i="4" s="1"/>
  <c r="P44" i="4"/>
  <c r="P42" i="4"/>
  <c r="P41" i="4"/>
  <c r="P40" i="4"/>
  <c r="P39" i="4"/>
  <c r="P38" i="4"/>
  <c r="P37" i="4"/>
  <c r="P36" i="4"/>
  <c r="H56" i="4"/>
  <c r="G56" i="4"/>
  <c r="G53" i="4"/>
  <c r="G52" i="4"/>
  <c r="G51" i="4"/>
  <c r="G50" i="4"/>
  <c r="H54" i="4" s="1"/>
  <c r="I83" i="1" s="1"/>
  <c r="G44" i="4"/>
  <c r="F45" i="4"/>
  <c r="F46" i="4" s="1"/>
  <c r="G42" i="4"/>
  <c r="G41" i="4"/>
  <c r="G40" i="4"/>
  <c r="G39" i="4"/>
  <c r="G38" i="4"/>
  <c r="G37" i="4"/>
  <c r="G36" i="4"/>
  <c r="A35" i="6" l="1"/>
  <c r="A36" i="6" s="1"/>
  <c r="A37" i="6" s="1"/>
  <c r="A38" i="6" s="1"/>
  <c r="A39" i="6" s="1"/>
  <c r="A40" i="6" s="1"/>
  <c r="A41" i="6" s="1"/>
  <c r="A42" i="6" s="1"/>
  <c r="A43" i="6" s="1"/>
  <c r="A44" i="6" s="1"/>
  <c r="D33" i="6"/>
  <c r="G46" i="4"/>
  <c r="F47" i="4"/>
  <c r="G45" i="4"/>
  <c r="O47" i="4"/>
  <c r="P46" i="4"/>
  <c r="P45" i="4"/>
  <c r="I111" i="1"/>
  <c r="I110" i="1"/>
  <c r="I108" i="1"/>
  <c r="I105" i="1"/>
  <c r="I104" i="1"/>
  <c r="I107" i="1"/>
  <c r="I117" i="1"/>
  <c r="I118" i="1"/>
  <c r="I121" i="1"/>
  <c r="K121" i="1" s="1"/>
  <c r="F31" i="6" s="1"/>
  <c r="A45" i="6" l="1"/>
  <c r="A46" i="6" s="1"/>
  <c r="F33" i="6"/>
  <c r="K111" i="1"/>
  <c r="D27" i="6" s="1"/>
  <c r="F27" i="6" s="1"/>
  <c r="K105" i="1"/>
  <c r="D23" i="6" s="1"/>
  <c r="F23" i="6" s="1"/>
  <c r="K119" i="1"/>
  <c r="D29" i="6" s="1"/>
  <c r="K108" i="1"/>
  <c r="D24" i="6" s="1"/>
  <c r="G47" i="4"/>
  <c r="H48" i="4" s="1"/>
  <c r="I82" i="1" s="1"/>
  <c r="F48" i="4"/>
  <c r="G48" i="4" s="1"/>
  <c r="P47" i="4"/>
  <c r="Q48" i="4" s="1"/>
  <c r="O48" i="4"/>
  <c r="P48" i="4" s="1"/>
  <c r="A48" i="6" l="1"/>
  <c r="A49" i="6" s="1"/>
  <c r="A50" i="6" s="1"/>
  <c r="A51" i="6" s="1"/>
  <c r="A52" i="6" s="1"/>
  <c r="A53" i="6" s="1"/>
  <c r="A54" i="6" s="1"/>
  <c r="A55" i="6" s="1"/>
  <c r="D30" i="6"/>
  <c r="F30" i="6" s="1"/>
  <c r="F24" i="6"/>
  <c r="D25" i="6"/>
  <c r="F25" i="6" s="1"/>
  <c r="F29" i="6"/>
  <c r="I32" i="1"/>
  <c r="I31" i="1"/>
  <c r="I30" i="1"/>
  <c r="I28" i="1"/>
  <c r="I27" i="1"/>
  <c r="I29" i="1"/>
  <c r="I101" i="1"/>
  <c r="F102" i="1"/>
  <c r="I102" i="1" s="1"/>
  <c r="K32" i="1" l="1"/>
  <c r="D10" i="6" s="1"/>
  <c r="F10" i="6" s="1"/>
  <c r="I81" i="1"/>
  <c r="F97" i="1"/>
  <c r="I97" i="1" s="1"/>
  <c r="F100" i="1"/>
  <c r="I100" i="1" s="1"/>
  <c r="F99" i="1"/>
  <c r="I99" i="1" s="1"/>
  <c r="F98" i="1"/>
  <c r="I98" i="1" s="1"/>
  <c r="F96" i="1"/>
  <c r="I96" i="1" s="1"/>
  <c r="F95" i="1"/>
  <c r="I95" i="1" s="1"/>
  <c r="F94" i="1"/>
  <c r="I94" i="1" s="1"/>
  <c r="I92" i="1"/>
  <c r="I91" i="1"/>
  <c r="I90" i="1"/>
  <c r="I89" i="1"/>
  <c r="I88" i="1"/>
  <c r="I87" i="1"/>
  <c r="I86" i="1"/>
  <c r="I77" i="1"/>
  <c r="I80" i="1"/>
  <c r="I79" i="1"/>
  <c r="I78" i="1"/>
  <c r="I76" i="1"/>
  <c r="I75" i="1"/>
  <c r="I74" i="1"/>
  <c r="F71" i="1"/>
  <c r="I71" i="1" s="1"/>
  <c r="F70" i="1"/>
  <c r="I70" i="1" s="1"/>
  <c r="F69" i="1"/>
  <c r="I69" i="1" s="1"/>
  <c r="F68" i="1"/>
  <c r="I68" i="1" s="1"/>
  <c r="F67" i="1"/>
  <c r="I67" i="1" s="1"/>
  <c r="F66" i="1"/>
  <c r="I66" i="1" s="1"/>
  <c r="F64" i="1"/>
  <c r="I64" i="1" s="1"/>
  <c r="F63" i="1"/>
  <c r="I63" i="1" s="1"/>
  <c r="F62" i="1"/>
  <c r="I62" i="1" s="1"/>
  <c r="F61" i="1"/>
  <c r="I61" i="1" s="1"/>
  <c r="F60" i="1"/>
  <c r="I60" i="1" s="1"/>
  <c r="F59" i="1"/>
  <c r="I59" i="1" s="1"/>
  <c r="G57" i="1"/>
  <c r="I57" i="1" s="1"/>
  <c r="G56" i="1"/>
  <c r="I56" i="1" s="1"/>
  <c r="G55" i="1"/>
  <c r="I55" i="1" s="1"/>
  <c r="G54" i="1"/>
  <c r="I54" i="1" s="1"/>
  <c r="G53" i="1"/>
  <c r="I53" i="1" s="1"/>
  <c r="G52" i="1"/>
  <c r="I52" i="1" s="1"/>
  <c r="G51" i="1"/>
  <c r="I51" i="1" s="1"/>
  <c r="G49" i="1"/>
  <c r="I49" i="1" s="1"/>
  <c r="G48" i="1"/>
  <c r="I48" i="1" s="1"/>
  <c r="G47" i="1"/>
  <c r="I47" i="1" s="1"/>
  <c r="G46" i="1"/>
  <c r="I46" i="1" s="1"/>
  <c r="G45" i="1"/>
  <c r="I45" i="1" s="1"/>
  <c r="G44" i="1"/>
  <c r="I44" i="1" s="1"/>
  <c r="G43" i="1"/>
  <c r="I43" i="1" s="1"/>
  <c r="N40" i="1"/>
  <c r="I38" i="1"/>
  <c r="F35" i="1"/>
  <c r="I35" i="1" s="1"/>
  <c r="I41" i="1"/>
  <c r="I40" i="1"/>
  <c r="I39" i="1"/>
  <c r="I37" i="1"/>
  <c r="I36" i="1"/>
  <c r="I11" i="1"/>
  <c r="I10" i="1"/>
  <c r="I9" i="1"/>
  <c r="I8" i="1"/>
  <c r="I7" i="1"/>
  <c r="I18" i="1"/>
  <c r="I25" i="1" s="1"/>
  <c r="I17" i="1"/>
  <c r="I24" i="1" s="1"/>
  <c r="I16" i="1"/>
  <c r="I23" i="1" s="1"/>
  <c r="I15" i="1"/>
  <c r="I22" i="1" s="1"/>
  <c r="I14" i="1"/>
  <c r="I21" i="1" s="1"/>
  <c r="I13" i="1"/>
  <c r="I20" i="1" s="1"/>
  <c r="K49" i="1" l="1"/>
  <c r="D13" i="6" s="1"/>
  <c r="F13" i="6" s="1"/>
  <c r="K11" i="1"/>
  <c r="D7" i="6" s="1"/>
  <c r="F7" i="6" s="1"/>
  <c r="K92" i="1"/>
  <c r="D19" i="6" s="1"/>
  <c r="F19" i="6" s="1"/>
  <c r="K84" i="1"/>
  <c r="D18" i="6" s="1"/>
  <c r="F18" i="6" s="1"/>
  <c r="K25" i="1"/>
  <c r="D9" i="6" s="1"/>
  <c r="F9" i="6" s="1"/>
  <c r="K18" i="1"/>
  <c r="D8" i="6" s="1"/>
  <c r="F8" i="6" s="1"/>
  <c r="K41" i="1"/>
  <c r="D12" i="6" s="1"/>
  <c r="F12" i="6" s="1"/>
  <c r="K72" i="1"/>
  <c r="D17" i="6" s="1"/>
  <c r="F17" i="6" s="1"/>
  <c r="K57" i="1"/>
  <c r="D14" i="6" s="1"/>
  <c r="F14" i="6" s="1"/>
  <c r="K64" i="1"/>
  <c r="D16" i="6" s="1"/>
  <c r="F16" i="6" s="1"/>
  <c r="K102" i="1"/>
  <c r="D21" i="6" s="1"/>
  <c r="F21" i="6" l="1"/>
  <c r="D20" i="6"/>
  <c r="F20" i="6" s="1"/>
  <c r="F56" i="6" l="1"/>
  <c r="F57" i="6" s="1"/>
  <c r="F58" i="6" s="1"/>
</calcChain>
</file>

<file path=xl/sharedStrings.xml><?xml version="1.0" encoding="utf-8"?>
<sst xmlns="http://schemas.openxmlformats.org/spreadsheetml/2006/main" count="835" uniqueCount="233">
  <si>
    <t>Sr. No.</t>
  </si>
  <si>
    <t>Description of Items</t>
  </si>
  <si>
    <t>Measurement</t>
  </si>
  <si>
    <t>Side</t>
  </si>
  <si>
    <t>Length (M)</t>
  </si>
  <si>
    <t>Width (M)</t>
  </si>
  <si>
    <t>Thickness(M)</t>
  </si>
  <si>
    <t>Qty</t>
  </si>
  <si>
    <t>Unit</t>
  </si>
  <si>
    <t>Remarks</t>
  </si>
  <si>
    <t>Toll Plaza Restoration work BOQ</t>
  </si>
  <si>
    <t>Casting of Bull Nose</t>
  </si>
  <si>
    <t>Lane 01</t>
  </si>
  <si>
    <t>Lane 02</t>
  </si>
  <si>
    <t>Lane 03</t>
  </si>
  <si>
    <t>Lane 06</t>
  </si>
  <si>
    <t>Lane 07</t>
  </si>
  <si>
    <t>Lane 08</t>
  </si>
  <si>
    <t>Chainage</t>
  </si>
  <si>
    <t>1374+570</t>
  </si>
  <si>
    <t>LHS</t>
  </si>
  <si>
    <t>RHS</t>
  </si>
  <si>
    <t>Nos</t>
  </si>
  <si>
    <t>Cum</t>
  </si>
  <si>
    <t>Dismantling of Bullnose</t>
  </si>
  <si>
    <t>Lane 04 &amp; 05</t>
  </si>
  <si>
    <t>BHS</t>
  </si>
  <si>
    <t>Rmt</t>
  </si>
  <si>
    <t>Plasting of Kerb</t>
  </si>
  <si>
    <t>Sqm</t>
  </si>
  <si>
    <t>Dismantling of Toll Island</t>
  </si>
  <si>
    <t>Supply and Fixing of Cement Tile (Size 300MM X 300 MM) for Island</t>
  </si>
  <si>
    <t>Supply and Fixing of Ceramic floor tiles for Booth</t>
  </si>
  <si>
    <t>Supply and Fixing MS Chamber Cover with frame for cable</t>
  </si>
  <si>
    <t>Electrical Room</t>
  </si>
  <si>
    <t>Dismantling of PQC Panel</t>
  </si>
  <si>
    <t>Casting of PQC Panel-M-40</t>
  </si>
  <si>
    <t>Dismantling of Bike Lane</t>
  </si>
  <si>
    <t>Toilet Block Floor</t>
  </si>
  <si>
    <t>Repainting of Toll Booth (01 Coat Putty and 2 Coat Water base Paint)</t>
  </si>
  <si>
    <t>Toilet Block</t>
  </si>
  <si>
    <t>SWB Weigh Bridge</t>
  </si>
  <si>
    <t>MT</t>
  </si>
  <si>
    <t>Painting of Bullnose (01 Coat Putty and 2 Coat Oil Paint)</t>
  </si>
  <si>
    <t>Casting of Damage Kerb M-25</t>
  </si>
  <si>
    <t>i</t>
  </si>
  <si>
    <t>Rate</t>
  </si>
  <si>
    <t>Amount</t>
  </si>
  <si>
    <t>Raft</t>
  </si>
  <si>
    <t>0.8 Mtr</t>
  </si>
  <si>
    <t>0.1 Mtr</t>
  </si>
  <si>
    <t>0.65 Mtr</t>
  </si>
  <si>
    <t>Wall Thickness 0.1 Mtr</t>
  </si>
  <si>
    <t>0.6 Mtr</t>
  </si>
  <si>
    <t>With Cover Slab</t>
  </si>
  <si>
    <t>6.5 M</t>
  </si>
  <si>
    <t>6.5 Mtr</t>
  </si>
  <si>
    <t>Floor</t>
  </si>
  <si>
    <t>Wall</t>
  </si>
  <si>
    <t>Granite stone</t>
  </si>
  <si>
    <t>Ramp Cement Tile</t>
  </si>
  <si>
    <t>Sanitary Items</t>
  </si>
  <si>
    <t>Indian Seat</t>
  </si>
  <si>
    <t>Western Seat</t>
  </si>
  <si>
    <t>Urnial Pot</t>
  </si>
  <si>
    <t>Table top Wash Basin</t>
  </si>
  <si>
    <t>Jet Spray Gun</t>
  </si>
  <si>
    <t>Pillar Cock Long Body</t>
  </si>
  <si>
    <t>B/c BB Cock Long Body</t>
  </si>
  <si>
    <t>Angle Cock</t>
  </si>
  <si>
    <t>Jali for Basin</t>
  </si>
  <si>
    <t>Waste Pipe for Basin</t>
  </si>
  <si>
    <t>Fastener Set</t>
  </si>
  <si>
    <t>Flange</t>
  </si>
  <si>
    <t>Plan Flange</t>
  </si>
  <si>
    <t>Teflon Tape</t>
  </si>
  <si>
    <t>Lead connection 30''</t>
  </si>
  <si>
    <t>Two way big Cock</t>
  </si>
  <si>
    <t>Toilet Cisterns</t>
  </si>
  <si>
    <t>Towel rod</t>
  </si>
  <si>
    <t>Soad draining tray twoway</t>
  </si>
  <si>
    <t>PVC Gulli</t>
  </si>
  <si>
    <t>Pan Head Pech 1'' Inch</t>
  </si>
  <si>
    <t>Pan Head Pech 2'' Inch</t>
  </si>
  <si>
    <t>Basin Mirror</t>
  </si>
  <si>
    <t>Plumber Charges</t>
  </si>
  <si>
    <t>Toilet Block Ramp</t>
  </si>
  <si>
    <t>Granite Stone for Toilet Block</t>
  </si>
  <si>
    <t>Paver Block 75 MM</t>
  </si>
  <si>
    <t>In front of Toilet Block</t>
  </si>
  <si>
    <t>Misc. Work</t>
  </si>
  <si>
    <t>Toll Plaza Booth PVC Door</t>
  </si>
  <si>
    <t>Toll Plaza Booth PVC Window</t>
  </si>
  <si>
    <t xml:space="preserve">                  Name of Project:-Tolling, Operation, Maintenance &amp; Transfer of Shivpuri-Jhansi Section from km 1305.087 to 1380.387 of NH-27 in the state of Madhya Pradesh(Toll) basis</t>
  </si>
  <si>
    <t>Item  No.</t>
  </si>
  <si>
    <t xml:space="preserve">Description </t>
  </si>
  <si>
    <t xml:space="preserve">Total Quantity </t>
  </si>
  <si>
    <t>Remark</t>
  </si>
  <si>
    <t>Total Amount</t>
  </si>
  <si>
    <t>GST 18%</t>
  </si>
  <si>
    <t>Grand Total</t>
  </si>
  <si>
    <t>For Bull Nose</t>
  </si>
  <si>
    <t>Toll Plaza Kerb</t>
  </si>
  <si>
    <t>Toll Plaza Island</t>
  </si>
  <si>
    <t>Bike Lane</t>
  </si>
  <si>
    <t>Admin Building</t>
  </si>
  <si>
    <t>Sr. No</t>
  </si>
  <si>
    <t>Items</t>
  </si>
  <si>
    <t>All Items of Somany Company</t>
  </si>
  <si>
    <t>Casting of Bike Lane M-25 RCC Concrete</t>
  </si>
  <si>
    <t>Width 0.300, Height 0.450 Mtr</t>
  </si>
  <si>
    <t>Size of Kerb
 0.300 X .450 M</t>
  </si>
  <si>
    <t xml:space="preserve">DLC of Bike Lane </t>
  </si>
  <si>
    <t>Measurement for Construction of Toll Plaza Compound Wall (Length: 290 Mtr, RCC Column 3 Mtr C/C)</t>
  </si>
  <si>
    <t>Excavation</t>
  </si>
  <si>
    <t>Column footing</t>
  </si>
  <si>
    <t xml:space="preserve"> Plinth</t>
  </si>
  <si>
    <t>Deduction</t>
  </si>
  <si>
    <t>a</t>
  </si>
  <si>
    <t>Total Earth work for excavation</t>
  </si>
  <si>
    <t>b</t>
  </si>
  <si>
    <t>PCC M-15</t>
  </si>
  <si>
    <t>Total PCC Work</t>
  </si>
  <si>
    <t>RCC Concrete M25</t>
  </si>
  <si>
    <t xml:space="preserve"> Column footing RAFT</t>
  </si>
  <si>
    <t>Column below plinth</t>
  </si>
  <si>
    <t>Column above plinth</t>
  </si>
  <si>
    <t>Beam above brick wall</t>
  </si>
  <si>
    <t>Total RCC Work</t>
  </si>
  <si>
    <t>c</t>
  </si>
  <si>
    <t>e</t>
  </si>
  <si>
    <t>Brick Work</t>
  </si>
  <si>
    <t>Above Plinth Beam</t>
  </si>
  <si>
    <t>For Column</t>
  </si>
  <si>
    <t>Total Brick Work</t>
  </si>
  <si>
    <t>f</t>
  </si>
  <si>
    <t>Plaster Work</t>
  </si>
  <si>
    <t>Both side</t>
  </si>
  <si>
    <t>Wall Top</t>
  </si>
  <si>
    <t>Total Plaster Work</t>
  </si>
  <si>
    <t>g</t>
  </si>
  <si>
    <t>Painting Work</t>
  </si>
  <si>
    <t>Total Painting Work</t>
  </si>
  <si>
    <t xml:space="preserve">Name of Project:- Tolling, Operation, Maintenance &amp; Transfer of Four lane Chichra to Kharagpur (existing Km 185+150 (Design Km 16+130) to Km 129+000 (Design Km 72+250) in the state of West Bengal </t>
  </si>
  <si>
    <t>Bar Bending Schedule for Compound Wall</t>
  </si>
  <si>
    <t>SL.NO</t>
  </si>
  <si>
    <t>Components</t>
  </si>
  <si>
    <t>No</t>
  </si>
  <si>
    <t>Details</t>
  </si>
  <si>
    <t>Cutting Length   (M)</t>
  </si>
  <si>
    <t xml:space="preserve"> No of Bar</t>
  </si>
  <si>
    <t>Total Length (M)</t>
  </si>
  <si>
    <t>Dia of Bar (mm)</t>
  </si>
  <si>
    <t>Unit Weight (kg)</t>
  </si>
  <si>
    <t>weight  (kg)</t>
  </si>
  <si>
    <t>Footing Main Bar-X Direction</t>
  </si>
  <si>
    <t>Footing Main Bar-Y Direction</t>
  </si>
  <si>
    <t>Column Main Bar</t>
  </si>
  <si>
    <t>Column Strips</t>
  </si>
  <si>
    <t xml:space="preserve">Plinth top Beam </t>
  </si>
  <si>
    <t xml:space="preserve">Plinth bottom Beam </t>
  </si>
  <si>
    <t>Plinth beam Strips</t>
  </si>
  <si>
    <t xml:space="preserve">Brick wall above  top Beam </t>
  </si>
  <si>
    <t xml:space="preserve">Brick wall above bottom Beam </t>
  </si>
  <si>
    <t>Brick wall above Strips</t>
  </si>
  <si>
    <t>h</t>
  </si>
  <si>
    <t>Reinforcement Work</t>
  </si>
  <si>
    <t>Total Reinforcement Work</t>
  </si>
  <si>
    <t>Construction of Toll Plaza Compound Wall (Length: 290 Mtr, RCC Column 3 Mtr C/C)</t>
  </si>
  <si>
    <t>G.I Barbed Wire Fencing</t>
  </si>
  <si>
    <t>Estimate for Toll Plaza Repair &amp; Rehabilitation Work</t>
  </si>
  <si>
    <t>Reinforcement for Bull Nose (60Kg/Cum)</t>
  </si>
  <si>
    <t>Repainting of Kerb (01 Coat primer and 2 Coat Oil Paint)</t>
  </si>
  <si>
    <t>PQC Panel Replacement</t>
  </si>
  <si>
    <t>Item</t>
  </si>
  <si>
    <t>Casting of Drain  M-25</t>
  </si>
  <si>
    <t>Length</t>
  </si>
  <si>
    <t>Width</t>
  </si>
  <si>
    <t>Thick</t>
  </si>
  <si>
    <t>Steel</t>
  </si>
  <si>
    <t>PCC-M15</t>
  </si>
  <si>
    <t>Raft-M25</t>
  </si>
  <si>
    <t>Wall-M25</t>
  </si>
  <si>
    <t>Slab-M25</t>
  </si>
  <si>
    <t xml:space="preserve"> Bike lane</t>
  </si>
  <si>
    <t>Indian Seat WC</t>
  </si>
  <si>
    <t xml:space="preserve">Urnial </t>
  </si>
  <si>
    <t>Two way bib Cock</t>
  </si>
  <si>
    <t>Tender No.: NWPPL/FY26-27/RFP/SJRP- Raksha Toll Plaza/Civil Renovation Works</t>
  </si>
  <si>
    <r>
      <rPr>
        <b/>
        <sz val="9"/>
        <rFont val="Aptos"/>
        <family val="2"/>
      </rPr>
      <t xml:space="preserve">Dismantling of Bullnose Prestressed / Reinforced cement concrete grade M-25 &amp; above </t>
    </r>
    <r>
      <rPr>
        <sz val="9"/>
        <rFont val="Aptos"/>
        <family val="2"/>
      </rPr>
      <t xml:space="preserve">
Dismantling of existing structures like culverts, bridges, retaining walls and other structure comprising of masonry, cement concrete, wood, steel, including T&amp;P and scaffolding wherever necessary, sorting the dismantled material, disposal of unserviceable material and stacking the serviceable material with all lifts and lead up to  1000 meters. </t>
    </r>
  </si>
  <si>
    <r>
      <rPr>
        <b/>
        <sz val="9"/>
        <rFont val="Aptos"/>
        <family val="2"/>
      </rPr>
      <t>Construction of Bull Nose  (M-40)</t>
    </r>
    <r>
      <rPr>
        <sz val="9"/>
        <rFont val="Aptos"/>
        <family val="2"/>
      </rPr>
      <t xml:space="preserve">
Providing and laying Reinforced Cement Concrete of grade M-40 in  Bullnose , including formwork, centering, placement of reinforcement (where applicable), mixing, laying, compaction using vibrators, finishing, and curing, complete in accordance with the approved drawings and Technical Specifications. The work shall be executed as per MoRTH provisions for concrete works, ensuring proper surface preparation, alignment, levels, and quality control throughout construction.</t>
    </r>
  </si>
  <si>
    <r>
      <rPr>
        <b/>
        <sz val="9"/>
        <color indexed="8"/>
        <rFont val="Aptos"/>
        <family val="2"/>
      </rPr>
      <t xml:space="preserve">Reinforcement Steel: </t>
    </r>
    <r>
      <rPr>
        <sz val="9"/>
        <color indexed="8"/>
        <rFont val="Aptos"/>
        <family val="2"/>
      </rPr>
      <t xml:space="preserve">
 All charges for providing, cutting, bending, transporting, and tying reinforcement steel of designation TMT FE 500 as per IS 1786 for construction work. The vendor shall supply all necessary steel and 18 gauge black annealed binding wire. Reinforcement steel bars are to be cut, bent, and tied per approved bar bending schedules and structural drawings, ensuring precise dimensions and placements. Steel bars shall be securely tied at all intersections using 18-gauge black annealed binding  wire to maintain stability during concrete placement. Laps shall conform to MoRTH specifications and as directed in drawings,  with no separate payment for laps or overlaps as per MoRTH Clause 1600. Proper clear cover shall be maintained with spacers and chairs as per drawings and CPWD standards. Steel will be measured by weight in kilograms, excluding binding wire and without allowances for overlaps or wastage. The scope of work includes supply, handling, and on-site quality assurance for positioning, alignment, and compliance with specifications and as directed by EIC. Safety measures and quality checks  shall be implemented during all stages, ensuring high-standard reinforcement for structural integrity.  Reinforcement bars from the approved make shall only be used. </t>
    </r>
  </si>
  <si>
    <r>
      <rPr>
        <b/>
        <sz val="9"/>
        <rFont val="Aptos"/>
        <family val="2"/>
      </rPr>
      <t>Painting Two Coats on New Concrete Surfaces (Bull Nose)</t>
    </r>
    <r>
      <rPr>
        <sz val="9"/>
        <rFont val="Aptos"/>
        <family val="2"/>
      </rPr>
      <t xml:space="preserve">
Providing and applying  two coats enamel paint (First Quality of Asian/Berger/Nerolac) ( Bull Nose) This item includes the preparation and application of 1 coat primer and  2 coats of synthetic enamel paint in the approved shade to the Concrete surfaces. The work involves thoroughly cleaning the surface to remove all dirt, dust, oil, grease, efflorescence, Soil and other contaminants that could affect paint adhesion. After cleaning  1 coat primer and two coats of synthetic enamel paint, ensuring a durable and uniform finish. The work will be carried out in accordance with MoRTH Clause 803, and the directions of the Engineer-in-Charge. The final price includes the cost of all materials, labour for surface preparation, cleaning, application of  paint, transportation of materials to the site, overheads, profit, Safety during the work and any required machinery for application.
Relevant Standards:
MoRTH Clause 803: Painting and Surface Finishing Work</t>
    </r>
  </si>
  <si>
    <r>
      <rPr>
        <b/>
        <sz val="9"/>
        <color theme="1"/>
        <rFont val="Aptos"/>
        <family val="2"/>
      </rPr>
      <t>Cast-in-Situ Cement Concrete M20 Kerb</t>
    </r>
    <r>
      <rPr>
        <sz val="9"/>
        <color theme="1"/>
        <rFont val="Aptos"/>
        <family val="2"/>
      </rPr>
      <t xml:space="preserve">
All charges for the construction of a cast-in-situ cement concrete kerb in M20 grade concrete, with a foundation of M15 grade concrete, as per the approved drawings and technical specifications. The kerb shall be constructed with a top width of 115 mm, a bottom width of 250 mm, and a height of 240 mm. The foundation for the kerb shall be of M15 grade concrete, with a thickness of 150 mm, and shall extend 50 mm beyond the kerb for projection. The foundation concrete shall be placed manually, while the kerb shall be laid using a kerb laying machine to ensure uniformity and alignment. The work shall be executed in accordance with MoRTH's Clause 409 and the relevant IS codes, ensuring proper compaction, curing, and quality control.
The final price includes the cost of procurement of cement, aggregates, and other materials, including royalty charges. The cost also covers the labor, machinery, equipment, transportation, laying of concrete, use of kerb laying machines,  and all overheads and profit.
Relevant Standards:
MoRTH Clause: 409 (Cement Concrete for Kerbs, Channels, and Edging)
IS 456: Code of Practice for Plain and Reinforced Concrete</t>
    </r>
  </si>
  <si>
    <r>
      <rPr>
        <b/>
        <sz val="9"/>
        <color theme="1"/>
        <rFont val="Aptos"/>
        <family val="2"/>
      </rPr>
      <t>Plasster for Kerb reparing-</t>
    </r>
    <r>
      <rPr>
        <sz val="9"/>
        <color theme="1"/>
        <rFont val="Aptos"/>
        <family val="2"/>
      </rPr>
      <t>Providing cement plaster 15 mm thick in Single coats in cement mortar 1:4 to concrete, brick surface, in all positions including scaffolding and curing etc. complete</t>
    </r>
  </si>
  <si>
    <r>
      <rPr>
        <b/>
        <sz val="9"/>
        <color theme="1"/>
        <rFont val="Aptos"/>
        <family val="2"/>
      </rPr>
      <t>Kerb Painting</t>
    </r>
    <r>
      <rPr>
        <sz val="9"/>
        <color theme="1"/>
        <rFont val="Aptos"/>
        <family val="2"/>
      </rPr>
      <t xml:space="preserve">
Providing and applying  two coats enamel paint (First Quality of Asian/Berger/Nerolac) ( Kerb Painting) This item includes the preparation and application of 1 coat primer and  2 coats of synthetic enamel paint in the approved shade to the Kerb surfaces. The work involves thoroughly cleaning the surface to remove all dirt, dust, oil, grease, efflorescence, Soil and other contaminants that could affect paint adhesion. After cleaning  1 coat primer and two coats of synthetic enamel paint, ensuring a durable and uniform finish. The work will be carried out in accordance with MoRTH Clause 803, and the directions of the Engineer-in-Charge. The final price includes the cost of all materials, labour for surface preparation, cleaning, application of  paint, transportation of materials to the site, overheads, profit, Safety during the work and any required machinery for application.
Relevant Standards:
MoRTH Clause 803: Painting and Surface Finishing Work</t>
    </r>
  </si>
  <si>
    <r>
      <rPr>
        <b/>
        <sz val="9"/>
        <color theme="1"/>
        <rFont val="Aptos"/>
        <family val="2"/>
      </rPr>
      <t>Excavation of Soil</t>
    </r>
    <r>
      <rPr>
        <sz val="9"/>
        <color theme="1"/>
        <rFont val="Aptos"/>
        <family val="2"/>
      </rPr>
      <t>: Excavation in Soil using Hydraulic Excavator and Tippers with disposal. (Excavation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t>
    </r>
  </si>
  <si>
    <r>
      <rPr>
        <b/>
        <sz val="9"/>
        <rFont val="Aptos"/>
        <family val="2"/>
      </rPr>
      <t>Chequered precast cement concrete tiles -</t>
    </r>
    <r>
      <rPr>
        <sz val="9"/>
        <rFont val="Aptos"/>
        <family val="2"/>
      </rPr>
      <t xml:space="preserve">Providing and fixing Chequered precast cement concrete tiles 22 mm thick of approved make, colours, shades and size (300 x 300 MM) on floor over 20 mm thick bed of cement Mortar 1:3 (1 cement : 3 coarse sand) and jointing with grey cement slurry @ 3.3kg per sqm including pointing with matching pigment complete. </t>
    </r>
  </si>
  <si>
    <r>
      <rPr>
        <b/>
        <sz val="9"/>
        <color theme="1"/>
        <rFont val="Aptos"/>
        <family val="2"/>
      </rPr>
      <t>Providing and fixing Ceramic glazed wall tiles</t>
    </r>
    <r>
      <rPr>
        <sz val="9"/>
        <color theme="1"/>
        <rFont val="Aptos"/>
        <family val="2"/>
      </rPr>
      <t xml:space="preserve"> 300x450 mm or more (having thickness 6 to 7 mm) of 1st quality conforming to IS: 15622 of approved make in all Colours&amp; shades, except burgundy, bottle green, black laid on 12mm thick bed of Cement Mortar 1:3 (1 Cement: 3 sand)preprad same day when mortar is still green jointed with grey cement slurry @3.3 kg per sqm including pointing the joints with white cement and matching pigments etc., complete.</t>
    </r>
  </si>
  <si>
    <r>
      <rPr>
        <b/>
        <sz val="9"/>
        <rFont val="Aptos"/>
        <family val="2"/>
      </rPr>
      <t>Supply and Fixing MS Chamber Cover with frame for cable (Size 1mx1m)-</t>
    </r>
    <r>
      <rPr>
        <sz val="9"/>
        <rFont val="Aptos"/>
        <family val="2"/>
      </rPr>
      <t>Supplying, fabricating, and fixing MS chamber cover with frame made out of approved quality mild steel plate, angle/frame section of required size and thickness, including cutting, welding, grinding, proper alignment, anchoring in position, applying one coat of red oxide primer and two coats of synthetic enamel paint, complete with all fixtures, fasteners, lifting hooks/handles, locking arrangement if required, and all labour, tools, plants, transportation, loading/unloading, etc., complete in all respects as per approved drawing and direction of Engineer-In-Charge.</t>
    </r>
  </si>
  <si>
    <r>
      <rPr>
        <b/>
        <sz val="9"/>
        <rFont val="Aptos"/>
        <family val="2"/>
      </rPr>
      <t xml:space="preserve">Providing and applying white cement based putty </t>
    </r>
    <r>
      <rPr>
        <sz val="9"/>
        <rFont val="Aptos"/>
        <family val="2"/>
      </rPr>
      <t>of average thickness 1 mm, of approved brand over the plastered wall surface to prepare the surface even and smooth i/c all cost of material, labour and scaffold etc in all position complete. Note : Putty shall be applied only on the internal walls, for application on the exterior walls prior permission of Chief Engineer will be required.</t>
    </r>
  </si>
  <si>
    <r>
      <rPr>
        <b/>
        <sz val="9"/>
        <rFont val="Aptos"/>
        <family val="2"/>
      </rPr>
      <t>Painting Two Coats on New Concrete Surfaces</t>
    </r>
    <r>
      <rPr>
        <sz val="9"/>
        <rFont val="Aptos"/>
        <family val="2"/>
      </rPr>
      <t xml:space="preserve">
Providing and applying  two coats enamel paint (First Quality of Asian/Berger/Nerolac) on concrete surface (This item includes the preparation and application of 1 coat primer and  2 coats of synthetic enamel paint in the approved shade to the concrete surfaces. The work involves thoroughly cleaning the surface to remove all dirt, dust, oil, grease, efflorescence, Soil and other contaminants that could affect paint adhesion. After cleaning  1 coat primer and two coats of synthetic enamel paint, ensuring a durable and uniform finish. The work will be carried out in accordance with MoRTH Clause 803, and the directions of the Engineer-in-Charge. The final price includes the cost of all materials, labour for surface preparation, cleaning, application of  paint, transportation of materials to the site, overheads, profit, Safety during the work and any required machinery for application.
Relevant Standards:
MoRTH Clause 803: Painting and Surface Finishing Work</t>
    </r>
  </si>
  <si>
    <r>
      <rPr>
        <b/>
        <sz val="9"/>
        <rFont val="Aptos"/>
        <family val="2"/>
      </rPr>
      <t>Dismantling of Cement Concrete Pavement</t>
    </r>
    <r>
      <rPr>
        <sz val="9"/>
        <rFont val="Aptos"/>
        <family val="2"/>
      </rPr>
      <t xml:space="preserve">
Dismantling of cement concrete pavement by mechanical means using pneumatic tools, breaking to pieces not exceeding 0.02 cum in volume and stock piling Serviceable material at designated locations and disposal of unserviceable materials up to a lead of 1000 meters,</t>
    </r>
  </si>
  <si>
    <r>
      <rPr>
        <b/>
        <sz val="9"/>
        <rFont val="Aptos"/>
        <family val="2"/>
      </rPr>
      <t>Cement Concrete Pavement (M-40)</t>
    </r>
    <r>
      <rPr>
        <sz val="9"/>
        <rFont val="Aptos"/>
        <family val="2"/>
      </rPr>
      <t xml:space="preserve">
Construction of un-reinforced, dowel jointed, plain cement concrete pavement with M-40 grade concrete over a prepared sub base with cement , coarse and fine aggregate conforming to IS 383, maximum size of coarse aggregate not exceeding 25 mm, mixed in a batching and mixing plant as per approved mix design, transported to site, laid with electronic sensor slip form paver, spread, compacted and finished in a continuous operation including provision of contraction, expansion, construction and longitudinal joints, joint filler, separation membrane, sealant primer, joint sealant, debonding strip, admixtures as approved, curing compound, finishing to lines and grades as per drawing as per IRC-15-2011 and as per relevant clauses of section 602 of specifications complete but excluding cost of steel in dowel bar and tie rods etc. including groove cutting for width of 4 mm- 6mm and 1/3rd depth of PQC within 8-10 hrs of placing/ finishing of PQC including cleaning of groove and providing approved sealant filling etc. as per clause 602.2.10 and 600.10 and IRC-57-2006 as per drawing and as per specification.</t>
    </r>
  </si>
  <si>
    <r>
      <rPr>
        <b/>
        <sz val="9"/>
        <rFont val="Aptos"/>
        <family val="2"/>
      </rPr>
      <t>Dowel Bar &amp; Tie bar-</t>
    </r>
    <r>
      <rPr>
        <sz val="9"/>
        <rFont val="Aptos"/>
        <family val="2"/>
      </rPr>
      <t xml:space="preserve">
All charges for providing, cutting, bending, transporting, and tying of Dowel bar &amp; Tie Bar steel of designation  FE 500 as per IS 1786 for Rigid Pavement construction work. The vendor shall supply all necessary steel and Dowel Bar Caps. Dowel  bars are to be cut &amp; fix as  per approved drawings, ensuring precise dimensions and placements. Dowel bars &amp; Tie Bar shall be securely fix with provided chair as per Morth Specification.
No separate payment for chair to be considered. Steel will be measured by weight in kilograms, excluding chair &amp; binding wire and without allowances for overlaps or wastage. The scope of work includes supply, handling, and on-site quality assurance for positioning, alignment, and compliance with specifications and as directed by EIC. Safety measures and quality checks shall be implemented during all stages, ensuring high-standard reinforcement for structural integrity.
Reinforcement bars from the approved make shall only be used.</t>
    </r>
  </si>
  <si>
    <r>
      <rPr>
        <b/>
        <sz val="9"/>
        <rFont val="Aptos"/>
        <family val="2"/>
      </rPr>
      <t>Excavation in Soil by Manual Means</t>
    </r>
    <r>
      <rPr>
        <sz val="9"/>
        <rFont val="Aptos"/>
        <family val="2"/>
      </rPr>
      <t xml:space="preserve">
Excavation for roadway in soil including loading and unloading in/from truck for carrying of suitable cut earth to embankment site and disposing off unsuitable earth with all lifts and lead up to 1000 meters as per clauses of section-300.</t>
    </r>
  </si>
  <si>
    <r>
      <rPr>
        <b/>
        <sz val="9"/>
        <rFont val="Aptos"/>
        <family val="2"/>
      </rPr>
      <t>Dry Lean Cement Concrete Sub- base</t>
    </r>
    <r>
      <rPr>
        <sz val="9"/>
        <rFont val="Aptos"/>
        <family val="2"/>
      </rPr>
      <t xml:space="preserve">
Construction of dry lean cement concrete Sub- base over a prepared sub-grade or drainage layer with coarse and fine aggregate conforming to IS: 383, the size of coarse aggregate not exceeding 25 mm, aggregate cement ratio not to exceed 15:1, aggregate gradation after blending to be as per table 600-1, cement content not to be less than 150 kg/ cum, optimum moisture content to be determined during trial length construction, concrete strength not to be less than 10 Mpa at 7 days, mixed in a batching plant, transported to site, laid with a paver finisher with electronic sensor, compacting with 8- 10 tonnes vibratory roller, finishing and curing as per clause 601 of specification complete in all respect</t>
    </r>
  </si>
  <si>
    <r>
      <rPr>
        <b/>
        <sz val="9"/>
        <rFont val="Aptos"/>
        <family val="2"/>
      </rPr>
      <t>Reinforcemnet Cement Concrete M-25 Grade</t>
    </r>
    <r>
      <rPr>
        <sz val="9"/>
        <rFont val="Aptos"/>
        <family val="2"/>
      </rPr>
      <t xml:space="preserve">
 All charges for supply &amp; placing of Reinforcement Cement Concrete (M-25 grade) in open foundations  as per approved drawings and technical specifications, conforming to MoRTH Sections 1500, 1700, and 2200. The concrete shall  be batched using a batch mix plant, ensuring uniformity and consistent  quality. The mix shall use aggregates of size not exceeding 20 mm, with a  workable slump suitable for RCC. The thickness of RCC shall be as specified  in drawing. Concrete placement shall ensure a free-fall height of less than  1.5 m to prevent segregation, compacted using mechanical vibrators to  achieve proper consolidation.  The work includes the preparation of the foundation surface, leveling, placing concrete, and finishing exposed surfaces to achieve the required levels and smoothness. Adequate curing, as per approved methods, shall be carried out for at least 7 days to attain the desired strength. Sampling and testing shall follow relevant IS codes, including IS 456 and IS 516, to ensure compliance with quality standards.  The rate shall include all costs associated with labor, material, Shuttering , machinery, batching, transporting, placing, compacting, curing, sampling, testing, and incidental works. The work shall be executed with due diligence, adhering to environmental and safety measures, and ensuring compliance with the project’s specifications and MoRTH standards. </t>
    </r>
  </si>
  <si>
    <r>
      <rPr>
        <b/>
        <sz val="9"/>
        <color theme="1"/>
        <rFont val="Aptos"/>
        <family val="2"/>
      </rPr>
      <t>Casting of Lined Drain Size(0.8 x 0.8) With Cover Slab-Reinforcemnet Cement Concrete M-25 Grade</t>
    </r>
    <r>
      <rPr>
        <sz val="9"/>
        <color theme="1"/>
        <rFont val="Aptos"/>
        <family val="2"/>
      </rPr>
      <t xml:space="preserve">
Providing, laying, casting and finishing RCC lined drain of size 0.80 m × 0.80 m using M-25 grade reinforced cement concrete, including drain side walls, base raft slab and top cover slab, complete with cutting, bending, binding and placing of TMT steel reinforcement, centering, shuttering, vibration, curing, finishing, all materials, labour, machinery, tools &amp; tackles, transportation, and all incidental works as per approved drawing and direction of Engineer-in-Charge.
</t>
    </r>
  </si>
  <si>
    <r>
      <rPr>
        <b/>
        <sz val="9"/>
        <rFont val="Aptos"/>
        <family val="2"/>
      </rPr>
      <t>Providing and laying factory made coloured chamfered edge Cement Concrete paver blocks (75mm Thick-</t>
    </r>
    <r>
      <rPr>
        <sz val="9"/>
        <rFont val="Aptos"/>
        <family val="2"/>
      </rPr>
      <t xml:space="preserve">
Providing and laying factory made coloured chamfered edge Cement Concrete paver blocks of required strength, thickness and size/shape, made by table vibratory method using PU mould, laid in required colour and pattern over 50mm thick compacted bed of stone dust, compacting and proper embedding/laying of inter locking paver blocks into the bedding layer through vibratory compaction by using plate vibrator, filling the joints with sand and cutting of paver blocks as per required size and pattern, finishing and sweeping extra sand including locking edges with M 15 cement concrete in footpath, light traffic parking etc. complete as per direction of Engineer-in-Charge.
(ii) 80mm thick C.C. paver block of M-35 grade with approved colour, design and pattern.</t>
    </r>
  </si>
  <si>
    <r>
      <rPr>
        <b/>
        <sz val="9"/>
        <color theme="1"/>
        <rFont val="Aptos"/>
        <family val="2"/>
      </rPr>
      <t>Door and Window-</t>
    </r>
    <r>
      <rPr>
        <sz val="9"/>
        <color theme="1"/>
        <rFont val="Aptos"/>
        <family val="2"/>
      </rPr>
      <t>This item includes the supply, fabrication, and installation of Heavy duty aluminum (100mmx 50mmx 3mm) aluminum doors, windows, and ventilators, comprising frames and shutters, as per the approved architectural and engineering drawings. Aluminum sections shall conform to IS 733 and IS 1285, made from grade 6063 T5, and black powder-coated to a minimum thickness of 50 microns. EPDM rubber/neoprene gaskets and silicon sealants, as per IS 15477, shall be used for sealing and water resistance at all junctions. 6mm thick float glass panelling shall be used for panneling work. The make for aluminum sections shall be or equivalent to Jindal or Hindalco standard sections. In case the material is procured from a manufacturer other than Jindal or Hindalco, approval shall be sought from the Engineer-in-Charge, and any material benefit should be passed on to the client. Frames and shutters shall be fixed using dash fasteners and stainless steel screws. Accessories like cleat angles, aluminum beading, heavy-duty 5" hinges (3 numbers), tower bolts, door locks, door handles, glass Panel are included in the rate.This item also covers the replacement of damaged aluminum doors, windows, and ventilators, with no extra payment for dismantling or stacking materials within the premises. All work complete in all respect. Fabrication shall begin only after approval of shop drawings by the Engineer-in-Charge. Measurement and Payment will be based on Sqm Basis</t>
    </r>
  </si>
  <si>
    <r>
      <rPr>
        <b/>
        <sz val="9"/>
        <color theme="1"/>
        <rFont val="Aptos"/>
        <family val="2"/>
      </rPr>
      <t>Panelled UPVC door shutter 24 mm thick -</t>
    </r>
    <r>
      <rPr>
        <sz val="9"/>
        <color theme="1"/>
        <rFont val="Aptos"/>
        <family val="2"/>
      </rPr>
      <t>Providing and fixing Panelled UPVC door shutter to existing door frames. 24 mm thick factory made UPVC door shutters made of styles and rails of a UPVC hollow section of size 59x24 mm and wall thickness 2 mm (± 0.2 mm) with inbuilt edging on both sides. The styles and rails mitred and joint at the corners by means of M.S. galvanised/plastic brackets of size 75x220 mm having wall thickness 1.0 mm and stainless steel screws. The styles of the shutter reinforced by inserting galvanised M.S. tube of size 20x20 mm and 1 mm (± 0.1 mm) wall thickness. The lock rail made up of a UPVC hollow 'H' section, section of size 100x24 mm and 2 mm (± 0.2 mm) wall thickness, fixed to the shutter styles by means of plastic/galvanised M.S. 'U' cleats. The shutter frame filled with a UPVC multi-chambered single panel of size not less than 620 mm, having over all thickness of 20 mm and 1 mm (± 0.1 mm) wall thickness. The panels filled vertically and tie bar at two places by inserting horizontally 6 mm galvanised M.S. rod and fastened with nuts and washers, complete as per manufacturer's specification and direction of Engineer-in-charge. (For W.C. and bathroom door shutter).</t>
    </r>
  </si>
  <si>
    <r>
      <rPr>
        <b/>
        <sz val="9"/>
        <color theme="1"/>
        <rFont val="Aptos"/>
        <family val="2"/>
      </rPr>
      <t>Providing and fixing water closet squatting pan (Indian type W.C. pan )</t>
    </r>
    <r>
      <rPr>
        <sz val="9"/>
        <color theme="1"/>
        <rFont val="Aptos"/>
        <family val="2"/>
      </rPr>
      <t xml:space="preserve"> with 100 mm sand 
cast Iron P or S trap, 10 litre low level white P.V.C. flushing cistern, including flush pipe, with 
manually controlled device (handle lever) conforming to IS : 7231, with all fittings and fixtres 
complete, including cutting and making good the walls and floors wherever required:</t>
    </r>
  </si>
  <si>
    <r>
      <rPr>
        <b/>
        <sz val="9"/>
        <color theme="1"/>
        <rFont val="Aptos"/>
        <family val="2"/>
      </rPr>
      <t xml:space="preserve"> Providing and fixing white vitreous china pedestal type water closet (European type) with seat </t>
    </r>
    <r>
      <rPr>
        <sz val="9"/>
        <color theme="1"/>
        <rFont val="Aptos"/>
        <family val="2"/>
      </rPr>
      <t xml:space="preserve">
and lid, 10 litre low level white vitreous china flushing cistern &amp; C.P. flush bend with fittings 
&amp; C.I. brackets, 40 mm flush bend, overflow arrangement with specials of standard make 
and mosquito proof coupling of approved municipal design complete, including painting of 
fittings and brackets, cutting and making good the walls and floors wherever required </t>
    </r>
  </si>
  <si>
    <r>
      <rPr>
        <b/>
        <sz val="9"/>
        <color theme="1"/>
        <rFont val="Aptos"/>
        <family val="2"/>
      </rPr>
      <t xml:space="preserve">Providing and fixing white vitreous china flat back or wall corner type lipped front urinal </t>
    </r>
    <r>
      <rPr>
        <sz val="9"/>
        <color theme="1"/>
        <rFont val="Aptos"/>
        <family val="2"/>
      </rPr>
      <t xml:space="preserve">
basin of 430x260x350 mm and 340x410x265 mm sizes respectively with automatic flushing 
cistern with standard flush pipe and C.P. brass spreaders with brass unions and G.I clamps 
complete, including painting of fittings and brackets, cutting and making good the walls and 
floors wherever required</t>
    </r>
  </si>
  <si>
    <r>
      <rPr>
        <b/>
        <sz val="9"/>
        <color theme="1"/>
        <rFont val="Aptos"/>
        <family val="2"/>
      </rPr>
      <t>Table top Wash Basin-</t>
    </r>
    <r>
      <rPr>
        <sz val="9"/>
        <color theme="1"/>
        <rFont val="Aptos"/>
        <family val="2"/>
      </rPr>
      <t>Providing and fixing wash basin with C.I. brackets, 15 mm C.P. brass pillar taps, 32 mm C.P. brass waste of standard pattern, including painting of fittings and brackets, cutting and making good the walls wherever require:</t>
    </r>
  </si>
  <si>
    <r>
      <rPr>
        <b/>
        <sz val="9"/>
        <color theme="1"/>
        <rFont val="Aptos"/>
        <family val="2"/>
      </rPr>
      <t>Providing and Fixing of Jet Spray Gun-</t>
    </r>
    <r>
      <rPr>
        <sz val="9"/>
        <color theme="1"/>
        <rFont val="Aptos"/>
        <family val="2"/>
      </rPr>
      <t>Providing and fixing of health faucet (jet spray gun) of approved make and quality, comprising ABS/CP body with flexible hose pipe (minimum 1.0 m length), wall hook/holder, and necessary fittings. The work includes connection to the existing water supply line, cutting and making good of walls if required, testing for leakage, and complete installation as per direction of Engineer-in-Charge.</t>
    </r>
  </si>
  <si>
    <r>
      <rPr>
        <b/>
        <sz val="9"/>
        <color theme="1"/>
        <rFont val="Aptos"/>
        <family val="2"/>
      </rPr>
      <t>Providing and Fixing of Pillar Cock Long Body-</t>
    </r>
    <r>
      <rPr>
        <sz val="9"/>
        <color theme="1"/>
        <rFont val="Aptos"/>
        <family val="2"/>
      </rPr>
      <t>Providing and fixing of pillar cock (long body) of approved make and quality, made of brass with chrome plated finish, complete with all necessary fittings, washers, nuts, and connections. The work includes connecting to the existing water supply line, testing for leakage, and making good any damages to walls or surfaces, complete as per direction of Engineer-in-Charge.</t>
    </r>
  </si>
  <si>
    <r>
      <rPr>
        <b/>
        <sz val="9"/>
        <color theme="1"/>
        <rFont val="Aptos"/>
        <family val="2"/>
      </rPr>
      <t>Providing and Fixing of B/c BB Cock Long Body-</t>
    </r>
    <r>
      <rPr>
        <sz val="9"/>
        <color theme="1"/>
        <rFont val="Aptos"/>
        <family val="2"/>
      </rPr>
      <t>Providing and fixing of brass chromium plated bib cock (long body) of approved make and quality, complete with all necessary fittings, washers, nuts, and accessories. The work includes connection to the existing water supply line, testing for leakage, and making good any damages to walls or surfaces, complete in all respects as per direction of Engineer-in-Charge.</t>
    </r>
  </si>
  <si>
    <r>
      <rPr>
        <b/>
        <sz val="9"/>
        <color theme="1"/>
        <rFont val="Aptos"/>
        <family val="2"/>
      </rPr>
      <t>Providing and Fixing of Angle Cock-</t>
    </r>
    <r>
      <rPr>
        <sz val="9"/>
        <color theme="1"/>
        <rFont val="Aptos"/>
        <family val="2"/>
      </rPr>
      <t>Providing and fixing of angle cock of approved make and quality, made of brass with chromium plated finish, complete with all necessary fittings, washers, nuts, wall flange, and accessories. The work includes connection to the existing water supply line, testing for leakage, and making good any damages to walls or surfaces, complete in all respects as per direction of Engineer-in-Charge.</t>
    </r>
  </si>
  <si>
    <r>
      <rPr>
        <b/>
        <sz val="9"/>
        <color theme="1"/>
        <rFont val="Aptos"/>
        <family val="2"/>
      </rPr>
      <t>Providing and Fixing of Two way bib Cock-</t>
    </r>
    <r>
      <rPr>
        <sz val="9"/>
        <color theme="1"/>
        <rFont val="Aptos"/>
        <family val="2"/>
      </rPr>
      <t>Providing and fixing of two-way bib cock of approved make and quality, complete with necessary fittings such as wall flanges, nipples, washers, and sealing materials, including cutting and making good the wall, testing, and commissioning, as per specifications and direction of Engineer-in-Charge.</t>
    </r>
  </si>
  <si>
    <r>
      <rPr>
        <b/>
        <sz val="9"/>
        <color theme="1"/>
        <rFont val="Aptos"/>
        <family val="2"/>
      </rPr>
      <t>Providing and Fixing of Towel rod-</t>
    </r>
    <r>
      <rPr>
        <sz val="9"/>
        <color theme="1"/>
        <rFont val="Aptos"/>
        <family val="2"/>
      </rPr>
      <t>Providing and fixing of towel rod of approved make and quality, made of stainless steel (SS 304 grade) or as specified, complete with necessary brackets, screws, rawl plugs, and fittings. The work includes drilling of walls, fixing in true line and level, and making good the damaged surface. The item shall be complete in all respects as directed by the Engineer-in-charge.</t>
    </r>
  </si>
  <si>
    <r>
      <rPr>
        <b/>
        <sz val="9"/>
        <color theme="1"/>
        <rFont val="Aptos"/>
        <family val="2"/>
      </rPr>
      <t>Soap draining tray twoway</t>
    </r>
    <r>
      <rPr>
        <sz val="9"/>
        <color theme="1"/>
        <rFont val="Aptos"/>
        <family val="2"/>
      </rPr>
      <t>-Providing and fixing of two-way soap draining tray (soap dish) of approved make and quality, made of stainless steel (SS 304 grade) / chrome plated brass / high-quality plastic as specified, with provision for water drainage. The tray shall be fixed on wall with necessary brackets, screws, rawl plugs, and fittings. The work includes drilling, fixing in proper position, alignment, and making good the damaged surface. Complete in all respects as directed by the Engineer-in-charge.</t>
    </r>
  </si>
  <si>
    <r>
      <rPr>
        <b/>
        <sz val="9"/>
        <color theme="1"/>
        <rFont val="Aptos"/>
        <family val="2"/>
      </rPr>
      <t>Providing and Fixing of Basin Mirror-</t>
    </r>
    <r>
      <rPr>
        <sz val="9"/>
        <color theme="1"/>
        <rFont val="Aptos"/>
        <family val="2"/>
      </rPr>
      <t>Providing and fixing of basin mirror of approved make and quality, made of superior quality glass of 5 mm thickness or as specified, with polished edges. The mirror shall be fixed over wash basin area using suitable screws, rawl plugs, clamps, or adhesive as required. The work includes proper alignment, fixing in true line and level, and making good the damaged portion of wall. Complete in all respects as directed by the Engineer-in-charge.</t>
    </r>
  </si>
  <si>
    <r>
      <rPr>
        <b/>
        <sz val="9"/>
        <rFont val="Aptos"/>
        <family val="2"/>
      </rPr>
      <t>Plain Cement Concrete M-15 Grade</t>
    </r>
    <r>
      <rPr>
        <sz val="9"/>
        <rFont val="Aptos"/>
        <family val="2"/>
      </rPr>
      <t xml:space="preserve">
 All charges for supply &amp; placing of Plain Cement Concrete (M-15 grade) in open foundations  as per approved drawings and technical specifications, conforming to MoRTH Sections 1500, 1700, and 2200. The concrete shall  be batched using a batch mix plant, ensuring uniformity and consistent  quality. The mix shall use aggregates of size not exceeding 20 mm, with a  workable slump suitable for PCC. The thickness of PCC shall be as specified  in drawing. Concrete placement shall ensure a free-fall height of less than  1.5 m to prevent segregation, compacted using mechanical vibrators to  achieve proper consolidation.  The work includes the preparation of the foundation surface, leveling, placing concrete, and finishing exposed surfaces to achieve the required levels and smoothness. Adequate curing, as per approved methods, shall be carried out for at least 7 days to attain the desired strength. Sampling and testing shall follow relevant IS codes, including IS 456 and IS 516, to ensure compliance with quality standards.  The rate shall include all costs associated with labor, material, Shuttering , machinery, batching, transporting, placing, compacting, curing, sampling, testing, and incidental works. The work shall be executed with due diligence, adhering to environmental and safety measures, and ensuring compliance with the project’s specifications and MoRTH standards. </t>
    </r>
  </si>
  <si>
    <r>
      <rPr>
        <b/>
        <sz val="9"/>
        <rFont val="Aptos"/>
        <family val="2"/>
      </rPr>
      <t>Reinforcemnet Cement Concrete M-25 Grade for Boundary Wall</t>
    </r>
    <r>
      <rPr>
        <sz val="9"/>
        <rFont val="Aptos"/>
        <family val="2"/>
      </rPr>
      <t xml:space="preserve">
 All charges for supply &amp; placing of Reinforcement Cement Concrete (M-25 grade) in open foundations  as per approved drawings and technical specifications, conforming to MoRTH Sections 1500, 1700, and 2200. The concrete shall  be batched using a batch mix plant, ensuring uniformity and consistent  quality. The mix shall use aggregates of size not exceeding 20 mm, with a  workable slump suitable for RCC. The thickness of RCC shall be as specified  in drawing. Concrete placement shall ensure a free-fall height of less than  1.5 m to prevent segregation, compacted using mechanical vibrators to  achieve proper consolidation.  The work includes the preparation of the foundation surface, leveling, placing concrete, and finishing exposed surfaces to achieve the required levels and smoothness. Adequate curing, as per approved methods, shall be carried out for at least 7 days to attain the desired strength. Sampling and testing shall follow relevant IS codes, including IS 456 and IS 516, to ensure compliance with quality standards.  The rate shall include all costs associated with labor, material, Shuttering , machinery, batching, transporting, placing, compacting, curing, sampling, testing, and incidental works. The work shall be executed with due diligence, adhering to environmental and safety measures, and ensuring compliance with the project’s specifications and MoRTH standards. </t>
    </r>
  </si>
  <si>
    <r>
      <rPr>
        <b/>
        <sz val="9"/>
        <rFont val="Aptos"/>
        <family val="2"/>
      </rPr>
      <t>1st Class Brick Masonry Work in Cement Mortar 1:6</t>
    </r>
    <r>
      <rPr>
        <sz val="9"/>
        <rFont val="Aptos"/>
        <family val="2"/>
      </rPr>
      <t xml:space="preserve">
This item includes the construction of brick masonry using 1st class burnt clay bricks, laid in cement mortar of mix ratio 1:3 (Cement: Sand), for foundations, walls, piers, columns, and other structures as per the approved drawings and technical specifications, from ground level till plinth and in superstructure above plinth level up to floor five level. The work includes thoroughly soaking the bricks in water for a minimum period of one hour prior to laying them to ensure proper bonding and to achieve maximum strength. The work shall also involve the protection of the green structure from rain during curing by suitable coverings. Curing of the masonry shall be done for a minimum period of 7 days as per standard practices to ensure the proper hydration and strength development of the mortar and masonry. The work excludes the cost of pointing, plastering, or any additional finish unless specified otherwise. The work shall be executed in accordance with the relevant CPWD and IS specifications.
The final price includes the cost of procurement of 1st class bricks, cement, sand, and other necessary materials, including royalty charges, transportation to site, soaking of bricks, labor, machinery, curing, and all overheads and profit. The cost does not include pointing, plastering, or any decorative finishes unless specified separately. Safety measures and quality checks shall be implemented during all stages.
Relevant Standards:
CPWD Specification No. 6.4 (Brick Masonry Work)
MoRTH Clause 1300 (Brick Masonry Work)</t>
    </r>
  </si>
  <si>
    <r>
      <rPr>
        <b/>
        <sz val="9"/>
        <rFont val="Aptos"/>
        <family val="2"/>
      </rPr>
      <t>Plaster (15 mm Thick in Two Layers)</t>
    </r>
    <r>
      <rPr>
        <sz val="9"/>
        <rFont val="Aptos"/>
        <family val="2"/>
      </rPr>
      <t xml:space="preserve">
The work includes 20 mm thick external plaster in two layers as per CPWD Clause 13. cement mortar 1:4 (1 cement: 4 fine sand) applied.The work includes raking joints, cleaning, surface preparation, uniform application of both layers, curing as specified, and ensuring a smooth finish. The cost includes all materials (cement, sand, water), labor, curing, scaffolding, and quality checks. Measurement shall be in Sqm of finished plastered area. The work shall conform to IS 1661:1980 and CPWD specifications.
Rate is applicable from plinth level to floor five level.</t>
    </r>
  </si>
  <si>
    <r>
      <rPr>
        <b/>
        <sz val="9"/>
        <rFont val="Aptos"/>
        <family val="2"/>
      </rPr>
      <t>Painting on concrete surface</t>
    </r>
    <r>
      <rPr>
        <sz val="9"/>
        <rFont val="Aptos"/>
        <family val="2"/>
      </rPr>
      <t xml:space="preserve">
Providing and applying 2 coats of water-based cement paint to unplastered concrete surface after cleaning the surface of dirt, dust, oil, grease, efflorescence and applying paint @ of 1 litre for 2 Sq.m.</t>
    </r>
  </si>
  <si>
    <r>
      <rPr>
        <b/>
        <sz val="9"/>
        <rFont val="Aptos"/>
        <family val="2"/>
      </rPr>
      <t>G.I Barbed Wire Fencing 1.2 metre high</t>
    </r>
    <r>
      <rPr>
        <sz val="9"/>
        <rFont val="Aptos"/>
        <family val="2"/>
      </rPr>
      <t xml:space="preserve">
Providing and fixing 1.2 metres high GI barbed wire (weighing 9.38 kg per 100 mts.) fencing with 1.8 m angle iron posts 40 mm x 40 mm x 6 mm placed every 3 metres center to center founded in M15 grade cement concrete, 0.6 metre below ground level, every 15th post, last but one end post and corner post shall be strutted on both sides and end post on one side only and provided with 9 horizontal lines and 2 diagonals interwoven with horizontal wires, fixed with GI staples, turn buckles etc complete as per clause 808.</t>
    </r>
  </si>
  <si>
    <t>* The Quantities mentioned in BoQ may vary up to ± 25% of original BoQ quantity of single BoQ item subject to maximum of ± 20% of original Contract price. The decision of the Employer shall be final and binding on the contractor</t>
  </si>
  <si>
    <t xml:space="preserve">Note: </t>
  </si>
  <si>
    <t>* Material &amp; Testing shall be done as per NHAI/MORTH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</si>
</sst>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 #,##0_ ;_ * \-#,##0_ ;_ * &quot;-&quot;??_ ;_ @_ "/>
    <numFmt numFmtId="165" formatCode="0.0_)"/>
    <numFmt numFmtId="166" formatCode="0_)"/>
    <numFmt numFmtId="167" formatCode="#,##0;[Red]#,##0"/>
    <numFmt numFmtId="168" formatCode="0.00_)"/>
    <numFmt numFmtId="169" formatCode="0.000"/>
    <numFmt numFmtId="170" formatCode="0.0"/>
  </numFmts>
  <fonts count="24" x14ac:knownFonts="1">
    <font>
      <sz val="11"/>
      <color theme="1"/>
      <name val="Aptos Narrow"/>
      <family val="2"/>
      <scheme val="minor"/>
    </font>
    <font>
      <sz val="11"/>
      <color theme="1"/>
      <name val="Aptos Narrow"/>
      <family val="2"/>
      <scheme val="minor"/>
    </font>
    <font>
      <b/>
      <sz val="11"/>
      <color theme="1"/>
      <name val="Aptos Narrow"/>
      <family val="2"/>
      <scheme val="minor"/>
    </font>
    <font>
      <b/>
      <i/>
      <sz val="18"/>
      <color theme="1"/>
      <name val="Aptos Narrow"/>
      <family val="2"/>
      <scheme val="minor"/>
    </font>
    <font>
      <sz val="11"/>
      <color theme="1"/>
      <name val="Arial Narrow"/>
      <family val="2"/>
    </font>
    <font>
      <sz val="11"/>
      <color indexed="8"/>
      <name val="Calibri"/>
      <family val="2"/>
    </font>
    <font>
      <sz val="10"/>
      <color rgb="FF000000"/>
      <name val="Times New Roman"/>
      <family val="1"/>
    </font>
    <font>
      <b/>
      <sz val="10"/>
      <color rgb="FF000000"/>
      <name val="Aptos Narrow"/>
      <family val="2"/>
      <scheme val="minor"/>
    </font>
    <font>
      <sz val="10"/>
      <color rgb="FF000000"/>
      <name val="Aptos Narrow"/>
      <family val="2"/>
      <scheme val="minor"/>
    </font>
    <font>
      <b/>
      <sz val="12"/>
      <name val="Verdana"/>
      <family val="2"/>
    </font>
    <font>
      <b/>
      <sz val="11"/>
      <name val="Verdana"/>
      <family val="2"/>
    </font>
    <font>
      <sz val="10"/>
      <color theme="1"/>
      <name val="Aptos Narrow"/>
      <family val="2"/>
      <scheme val="minor"/>
    </font>
    <font>
      <sz val="11"/>
      <color rgb="FFFF0000"/>
      <name val="Aptos Narrow"/>
      <family val="2"/>
      <scheme val="minor"/>
    </font>
    <font>
      <sz val="9"/>
      <color theme="1"/>
      <name val="Aptos"/>
      <family val="2"/>
    </font>
    <font>
      <b/>
      <sz val="9"/>
      <color theme="1"/>
      <name val="Aptos"/>
      <family val="2"/>
    </font>
    <font>
      <b/>
      <sz val="11"/>
      <color indexed="8"/>
      <name val="Aptos"/>
      <family val="2"/>
    </font>
    <font>
      <b/>
      <sz val="9"/>
      <name val="Aptos"/>
      <family val="2"/>
    </font>
    <font>
      <sz val="9"/>
      <name val="Aptos"/>
      <family val="2"/>
    </font>
    <font>
      <b/>
      <sz val="9"/>
      <color indexed="8"/>
      <name val="Aptos"/>
      <family val="2"/>
    </font>
    <font>
      <sz val="9"/>
      <color indexed="8"/>
      <name val="Aptos"/>
      <family val="2"/>
    </font>
    <font>
      <sz val="11"/>
      <color theme="1"/>
      <name val="Aptos"/>
      <family val="2"/>
    </font>
    <font>
      <b/>
      <sz val="12"/>
      <color theme="1"/>
      <name val="Aptos"/>
      <family val="2"/>
    </font>
    <font>
      <b/>
      <sz val="11"/>
      <color theme="1"/>
      <name val="Aptos Display"/>
      <family val="2"/>
    </font>
    <font>
      <b/>
      <sz val="11"/>
      <name val="Aptos"/>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7"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auto="1"/>
      </left>
      <right style="thin">
        <color auto="1"/>
      </right>
      <top style="hair">
        <color auto="1"/>
      </top>
      <bottom style="hair">
        <color auto="1"/>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0" fontId="1" fillId="0" borderId="0"/>
    <xf numFmtId="43" fontId="1" fillId="0" borderId="0" applyFont="0" applyFill="0" applyBorder="0" applyAlignment="0" applyProtection="0"/>
    <xf numFmtId="0" fontId="5" fillId="0" borderId="0"/>
    <xf numFmtId="0" fontId="6"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96">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2" fillId="0" borderId="0" xfId="0" applyFont="1"/>
    <xf numFmtId="164" fontId="0" fillId="0" borderId="1" xfId="2" applyNumberFormat="1" applyFont="1" applyBorder="1" applyAlignment="1">
      <alignment horizontal="center" vertical="center"/>
    </xf>
    <xf numFmtId="0" fontId="0" fillId="0" borderId="0" xfId="0" applyAlignment="1">
      <alignment horizontal="center"/>
    </xf>
    <xf numFmtId="0" fontId="0" fillId="2" borderId="1" xfId="0" applyFill="1" applyBorder="1" applyAlignment="1">
      <alignment horizontal="center" vertical="center"/>
    </xf>
    <xf numFmtId="0" fontId="0" fillId="0" borderId="0" xfId="0" applyAlignment="1">
      <alignment horizontal="left"/>
    </xf>
    <xf numFmtId="0" fontId="4" fillId="0" borderId="10" xfId="0" applyFont="1" applyBorder="1"/>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left" vertical="center"/>
    </xf>
    <xf numFmtId="0" fontId="2" fillId="2" borderId="5" xfId="0" applyFont="1" applyFill="1" applyBorder="1" applyAlignment="1">
      <alignment horizontal="center" vertical="center"/>
    </xf>
    <xf numFmtId="0" fontId="1" fillId="2" borderId="3" xfId="1" applyFill="1" applyBorder="1" applyAlignment="1">
      <alignment horizontal="left" vertical="center"/>
    </xf>
    <xf numFmtId="0" fontId="0" fillId="2" borderId="3" xfId="0" applyFill="1" applyBorder="1" applyAlignment="1">
      <alignment horizontal="center" vertical="center"/>
    </xf>
    <xf numFmtId="0" fontId="2" fillId="2" borderId="3" xfId="0" applyFont="1" applyFill="1" applyBorder="1" applyAlignment="1">
      <alignment horizontal="center" vertical="center"/>
    </xf>
    <xf numFmtId="0" fontId="1" fillId="2" borderId="1" xfId="1" applyFill="1" applyBorder="1" applyAlignment="1">
      <alignment horizontal="left" vertical="center"/>
    </xf>
    <xf numFmtId="0" fontId="1" fillId="2" borderId="2" xfId="1" applyFill="1" applyBorder="1" applyAlignment="1">
      <alignment horizontal="left" vertical="center"/>
    </xf>
    <xf numFmtId="0" fontId="0" fillId="2" borderId="2" xfId="0" applyFill="1" applyBorder="1" applyAlignment="1">
      <alignment horizontal="center" vertical="center"/>
    </xf>
    <xf numFmtId="0" fontId="1" fillId="2" borderId="7" xfId="1" applyFill="1" applyBorder="1" applyAlignment="1">
      <alignment horizontal="left" vertical="center"/>
    </xf>
    <xf numFmtId="0" fontId="1" fillId="2" borderId="8" xfId="1" applyFill="1" applyBorder="1" applyAlignment="1">
      <alignment horizontal="left" vertical="center"/>
    </xf>
    <xf numFmtId="0" fontId="1" fillId="2" borderId="6" xfId="1" applyFill="1" applyBorder="1" applyAlignment="1">
      <alignment horizontal="left" vertical="center"/>
    </xf>
    <xf numFmtId="0" fontId="0" fillId="2" borderId="4" xfId="0" applyFill="1" applyBorder="1" applyAlignment="1">
      <alignment horizontal="center" vertical="center"/>
    </xf>
    <xf numFmtId="0" fontId="1" fillId="2" borderId="9" xfId="1" applyFill="1" applyBorder="1" applyAlignment="1">
      <alignment horizontal="left" vertical="center"/>
    </xf>
    <xf numFmtId="0" fontId="0" fillId="2" borderId="9" xfId="0" applyFill="1" applyBorder="1" applyAlignment="1">
      <alignment horizontal="center" vertical="center"/>
    </xf>
    <xf numFmtId="0" fontId="2" fillId="2" borderId="5" xfId="0" applyFont="1" applyFill="1" applyBorder="1" applyAlignment="1">
      <alignment horizontal="left" vertical="center"/>
    </xf>
    <xf numFmtId="0" fontId="0" fillId="2" borderId="5" xfId="1" applyFont="1" applyFill="1" applyBorder="1" applyAlignment="1">
      <alignment horizontal="left" vertical="center"/>
    </xf>
    <xf numFmtId="0" fontId="0" fillId="2" borderId="1" xfId="1" applyFont="1" applyFill="1" applyBorder="1" applyAlignment="1">
      <alignment horizontal="left" vertical="center"/>
    </xf>
    <xf numFmtId="0" fontId="2" fillId="2" borderId="1" xfId="1" applyFont="1" applyFill="1" applyBorder="1" applyAlignment="1">
      <alignment horizontal="left" vertical="center"/>
    </xf>
    <xf numFmtId="0" fontId="0" fillId="2" borderId="0" xfId="0" applyFill="1"/>
    <xf numFmtId="0" fontId="0" fillId="2" borderId="0" xfId="0" applyFill="1" applyAlignment="1">
      <alignment horizontal="center"/>
    </xf>
    <xf numFmtId="0" fontId="0" fillId="2" borderId="0" xfId="0" applyFill="1" applyAlignment="1">
      <alignment horizontal="center" vertical="center"/>
    </xf>
    <xf numFmtId="0" fontId="4" fillId="0" borderId="1" xfId="0" applyFont="1" applyBorder="1" applyAlignment="1">
      <alignment horizontal="left" vertical="center"/>
    </xf>
    <xf numFmtId="0" fontId="1" fillId="2" borderId="4" xfId="1" applyFill="1" applyBorder="1" applyAlignment="1">
      <alignment horizontal="left" vertical="center"/>
    </xf>
    <xf numFmtId="2" fontId="0" fillId="2" borderId="3" xfId="0" applyNumberFormat="1" applyFill="1" applyBorder="1" applyAlignment="1">
      <alignment horizontal="center" vertical="center"/>
    </xf>
    <xf numFmtId="2" fontId="0" fillId="2" borderId="1" xfId="0" applyNumberFormat="1" applyFill="1" applyBorder="1" applyAlignment="1">
      <alignment horizontal="center" vertical="center"/>
    </xf>
    <xf numFmtId="2" fontId="0" fillId="2" borderId="2" xfId="0" applyNumberFormat="1" applyFill="1" applyBorder="1" applyAlignment="1">
      <alignment horizontal="center" vertical="center"/>
    </xf>
    <xf numFmtId="2" fontId="2" fillId="2" borderId="5" xfId="0" applyNumberFormat="1" applyFont="1" applyFill="1" applyBorder="1" applyAlignment="1">
      <alignment horizontal="center" vertical="center"/>
    </xf>
    <xf numFmtId="2" fontId="0" fillId="2" borderId="9" xfId="0" applyNumberFormat="1" applyFill="1" applyBorder="1" applyAlignment="1">
      <alignment horizontal="center" vertical="center"/>
    </xf>
    <xf numFmtId="2" fontId="2" fillId="2" borderId="1" xfId="0" applyNumberFormat="1" applyFont="1" applyFill="1" applyBorder="1" applyAlignment="1">
      <alignment horizontal="center" vertical="center"/>
    </xf>
    <xf numFmtId="43" fontId="0" fillId="0" borderId="0" xfId="2" applyFont="1"/>
    <xf numFmtId="0" fontId="2" fillId="2" borderId="1" xfId="0" applyFont="1" applyFill="1" applyBorder="1" applyAlignment="1">
      <alignment horizontal="left" vertical="center"/>
    </xf>
    <xf numFmtId="0" fontId="7" fillId="0" borderId="1" xfId="4" applyFont="1" applyBorder="1" applyAlignment="1">
      <alignment horizontal="left" vertical="top"/>
    </xf>
    <xf numFmtId="0" fontId="8" fillId="0" borderId="1" xfId="4" applyFont="1" applyBorder="1" applyAlignment="1">
      <alignment horizontal="center" vertical="center"/>
    </xf>
    <xf numFmtId="169" fontId="8" fillId="0" borderId="1" xfId="4" applyNumberFormat="1" applyFont="1" applyBorder="1" applyAlignment="1">
      <alignment horizontal="center" vertical="center"/>
    </xf>
    <xf numFmtId="0" fontId="8" fillId="0" borderId="1" xfId="4" applyFont="1" applyBorder="1" applyAlignment="1">
      <alignment horizontal="right" vertical="top"/>
    </xf>
    <xf numFmtId="0" fontId="7" fillId="0" borderId="1" xfId="4" applyFont="1" applyBorder="1" applyAlignment="1">
      <alignment horizontal="right" vertical="top"/>
    </xf>
    <xf numFmtId="0" fontId="0" fillId="2" borderId="1" xfId="0" applyFill="1" applyBorder="1" applyAlignment="1">
      <alignment horizontal="center"/>
    </xf>
    <xf numFmtId="170" fontId="0" fillId="2" borderId="1" xfId="0" applyNumberFormat="1" applyFill="1" applyBorder="1" applyAlignment="1">
      <alignment horizontal="center" vertical="center"/>
    </xf>
    <xf numFmtId="0" fontId="2" fillId="2" borderId="1" xfId="0" applyFont="1" applyFill="1" applyBorder="1" applyAlignment="1">
      <alignment horizontal="right" vertical="center"/>
    </xf>
    <xf numFmtId="0" fontId="8" fillId="0" borderId="1" xfId="4" applyFont="1" applyBorder="1" applyAlignment="1">
      <alignment horizontal="right" vertical="center"/>
    </xf>
    <xf numFmtId="0" fontId="1" fillId="0" borderId="0" xfId="1"/>
    <xf numFmtId="0" fontId="2" fillId="0" borderId="0" xfId="1" applyFont="1" applyAlignment="1">
      <alignment vertical="top"/>
    </xf>
    <xf numFmtId="0" fontId="1" fillId="0" borderId="1" xfId="1" applyBorder="1" applyAlignment="1">
      <alignment horizontal="center" vertical="center"/>
    </xf>
    <xf numFmtId="1" fontId="1" fillId="0" borderId="1" xfId="1" applyNumberFormat="1" applyBorder="1" applyAlignment="1">
      <alignment horizontal="center" vertical="center"/>
    </xf>
    <xf numFmtId="0" fontId="1" fillId="0" borderId="1" xfId="1" applyBorder="1"/>
    <xf numFmtId="0" fontId="1" fillId="0" borderId="0" xfId="1" applyAlignment="1">
      <alignment horizontal="center" vertical="center"/>
    </xf>
    <xf numFmtId="0" fontId="1" fillId="0" borderId="0" xfId="1" applyAlignment="1">
      <alignment horizontal="left" wrapText="1"/>
    </xf>
    <xf numFmtId="0" fontId="1" fillId="0" borderId="0" xfId="1" applyAlignment="1">
      <alignment horizontal="center"/>
    </xf>
    <xf numFmtId="169" fontId="1" fillId="0" borderId="0" xfId="1" applyNumberFormat="1" applyAlignment="1">
      <alignment horizontal="right"/>
    </xf>
    <xf numFmtId="169" fontId="1" fillId="0" borderId="0" xfId="1" applyNumberFormat="1"/>
    <xf numFmtId="0" fontId="1" fillId="0" borderId="0" xfId="1" applyAlignment="1">
      <alignment horizontal="left"/>
    </xf>
    <xf numFmtId="2" fontId="1" fillId="0" borderId="0" xfId="1" applyNumberFormat="1"/>
    <xf numFmtId="164" fontId="2" fillId="0" borderId="1" xfId="2" applyNumberFormat="1" applyFont="1" applyBorder="1" applyAlignment="1">
      <alignment horizontal="center" vertical="center"/>
    </xf>
    <xf numFmtId="164" fontId="0" fillId="0" borderId="0" xfId="2" applyNumberFormat="1" applyFont="1"/>
    <xf numFmtId="164" fontId="2" fillId="0" borderId="1" xfId="2" applyNumberFormat="1" applyFont="1" applyBorder="1"/>
    <xf numFmtId="0" fontId="2" fillId="0" borderId="1" xfId="0" applyFont="1" applyBorder="1"/>
    <xf numFmtId="170" fontId="2" fillId="2" borderId="1" xfId="0" applyNumberFormat="1" applyFont="1" applyFill="1" applyBorder="1" applyAlignment="1">
      <alignment horizontal="center" vertical="center"/>
    </xf>
    <xf numFmtId="170" fontId="2" fillId="2" borderId="6" xfId="0" applyNumberFormat="1" applyFont="1" applyFill="1" applyBorder="1" applyAlignment="1">
      <alignment horizontal="center" vertical="center"/>
    </xf>
    <xf numFmtId="170" fontId="2" fillId="2" borderId="3" xfId="0" applyNumberFormat="1" applyFont="1" applyFill="1" applyBorder="1" applyAlignment="1">
      <alignment horizontal="center" vertical="center"/>
    </xf>
    <xf numFmtId="170" fontId="0" fillId="2" borderId="3" xfId="0" applyNumberFormat="1" applyFill="1" applyBorder="1" applyAlignment="1">
      <alignment horizontal="center" vertical="center"/>
    </xf>
    <xf numFmtId="170" fontId="0" fillId="2" borderId="7" xfId="0" applyNumberFormat="1" applyFill="1" applyBorder="1" applyAlignment="1">
      <alignment horizontal="center" vertical="center"/>
    </xf>
    <xf numFmtId="170" fontId="0" fillId="2" borderId="6" xfId="0" applyNumberFormat="1" applyFill="1" applyBorder="1" applyAlignment="1">
      <alignment horizontal="center" vertical="center"/>
    </xf>
    <xf numFmtId="170" fontId="0" fillId="2" borderId="0" xfId="0" applyNumberFormat="1" applyFill="1"/>
    <xf numFmtId="170" fontId="0" fillId="2" borderId="3" xfId="0" applyNumberFormat="1" applyFill="1" applyBorder="1" applyAlignment="1">
      <alignment horizontal="left" vertical="center"/>
    </xf>
    <xf numFmtId="1" fontId="0" fillId="2" borderId="3" xfId="0" applyNumberFormat="1" applyFill="1" applyBorder="1" applyAlignment="1">
      <alignment horizontal="center" vertical="center"/>
    </xf>
    <xf numFmtId="1" fontId="0" fillId="2" borderId="1" xfId="0" applyNumberFormat="1" applyFill="1" applyBorder="1" applyAlignment="1">
      <alignment horizontal="center" vertical="center"/>
    </xf>
    <xf numFmtId="1" fontId="0" fillId="2" borderId="2" xfId="0" applyNumberFormat="1" applyFill="1" applyBorder="1" applyAlignment="1">
      <alignment horizontal="center" vertical="center"/>
    </xf>
    <xf numFmtId="43" fontId="0" fillId="2" borderId="3" xfId="2" applyFont="1" applyFill="1" applyBorder="1" applyAlignment="1">
      <alignment horizontal="center" vertical="center"/>
    </xf>
    <xf numFmtId="43" fontId="0" fillId="2" borderId="1" xfId="2" applyFont="1" applyFill="1" applyBorder="1" applyAlignment="1">
      <alignment horizontal="center" vertical="center"/>
    </xf>
    <xf numFmtId="43" fontId="0" fillId="2" borderId="2" xfId="2" applyFont="1" applyFill="1" applyBorder="1" applyAlignment="1">
      <alignment horizontal="center" vertical="center"/>
    </xf>
    <xf numFmtId="170" fontId="2" fillId="3" borderId="2" xfId="0" applyNumberFormat="1" applyFont="1" applyFill="1" applyBorder="1" applyAlignment="1">
      <alignment horizontal="center" vertical="center"/>
    </xf>
    <xf numFmtId="170" fontId="0" fillId="3" borderId="1" xfId="0" applyNumberFormat="1" applyFill="1" applyBorder="1" applyAlignment="1">
      <alignment horizontal="center" vertical="center"/>
    </xf>
    <xf numFmtId="169" fontId="0" fillId="2" borderId="3" xfId="0" applyNumberFormat="1" applyFill="1" applyBorder="1" applyAlignment="1">
      <alignment horizontal="center" vertical="center"/>
    </xf>
    <xf numFmtId="43" fontId="2" fillId="2" borderId="1" xfId="2" applyFont="1" applyFill="1" applyBorder="1" applyAlignment="1">
      <alignment horizontal="center" vertical="center"/>
    </xf>
    <xf numFmtId="0" fontId="11" fillId="0" borderId="1" xfId="4" applyFont="1" applyBorder="1" applyAlignment="1">
      <alignment horizontal="right" vertical="top"/>
    </xf>
    <xf numFmtId="0" fontId="11" fillId="0" borderId="1" xfId="4" applyFont="1" applyBorder="1" applyAlignment="1">
      <alignment horizontal="center" vertical="center"/>
    </xf>
    <xf numFmtId="169" fontId="11" fillId="0" borderId="1" xfId="4" applyNumberFormat="1" applyFont="1" applyBorder="1" applyAlignment="1">
      <alignment horizontal="center" vertical="center"/>
    </xf>
    <xf numFmtId="0" fontId="0" fillId="2" borderId="3" xfId="1" applyFont="1" applyFill="1" applyBorder="1" applyAlignment="1">
      <alignment horizontal="left" vertical="center"/>
    </xf>
    <xf numFmtId="0" fontId="0" fillId="0" borderId="1" xfId="0" applyBorder="1" applyAlignment="1">
      <alignment vertical="center"/>
    </xf>
    <xf numFmtId="0" fontId="2" fillId="0" borderId="1" xfId="0" applyFont="1" applyBorder="1" applyAlignment="1">
      <alignment horizontal="center"/>
    </xf>
    <xf numFmtId="0" fontId="0" fillId="0" borderId="1" xfId="0" applyBorder="1" applyAlignment="1">
      <alignment horizontal="center"/>
    </xf>
    <xf numFmtId="43" fontId="0" fillId="0" borderId="1" xfId="0" applyNumberFormat="1" applyBorder="1" applyAlignment="1">
      <alignment horizontal="center"/>
    </xf>
    <xf numFmtId="43" fontId="2" fillId="0" borderId="1" xfId="0" applyNumberFormat="1" applyFont="1" applyBorder="1" applyAlignment="1">
      <alignment horizontal="center"/>
    </xf>
    <xf numFmtId="0" fontId="12" fillId="2" borderId="1" xfId="0" applyFont="1" applyFill="1" applyBorder="1" applyAlignment="1">
      <alignment horizontal="center" vertical="center"/>
    </xf>
    <xf numFmtId="2" fontId="12" fillId="2" borderId="1" xfId="0" applyNumberFormat="1" applyFont="1" applyFill="1" applyBorder="1" applyAlignment="1">
      <alignment horizontal="center" vertical="center"/>
    </xf>
    <xf numFmtId="170" fontId="12" fillId="2" borderId="1" xfId="0" applyNumberFormat="1" applyFont="1" applyFill="1" applyBorder="1" applyAlignment="1">
      <alignment horizontal="center" vertical="center"/>
    </xf>
    <xf numFmtId="0" fontId="12" fillId="2" borderId="4" xfId="0" applyFont="1" applyFill="1" applyBorder="1" applyAlignment="1">
      <alignment horizontal="center" vertical="center"/>
    </xf>
    <xf numFmtId="0" fontId="12" fillId="2" borderId="4" xfId="1" applyFont="1" applyFill="1" applyBorder="1" applyAlignment="1">
      <alignment horizontal="left" vertical="center"/>
    </xf>
    <xf numFmtId="0" fontId="0" fillId="2" borderId="4" xfId="1" applyFont="1" applyFill="1" applyBorder="1" applyAlignment="1">
      <alignment horizontal="left" vertical="center"/>
    </xf>
    <xf numFmtId="164" fontId="0" fillId="0" borderId="1" xfId="2" applyNumberFormat="1" applyFont="1" applyFill="1" applyBorder="1" applyAlignment="1">
      <alignment horizontal="center" vertical="center"/>
    </xf>
    <xf numFmtId="165" fontId="16" fillId="3" borderId="12" xfId="3" applyNumberFormat="1" applyFont="1" applyFill="1" applyBorder="1" applyAlignment="1">
      <alignment horizontal="left" vertical="center"/>
    </xf>
    <xf numFmtId="166" fontId="16" fillId="3" borderId="5" xfId="3" applyNumberFormat="1" applyFont="1" applyFill="1" applyBorder="1" applyAlignment="1">
      <alignment horizontal="center" vertical="center" wrapText="1"/>
    </xf>
    <xf numFmtId="0" fontId="16" fillId="2" borderId="13" xfId="3" applyFont="1" applyFill="1" applyBorder="1" applyAlignment="1">
      <alignment horizontal="left" vertical="center"/>
    </xf>
    <xf numFmtId="166" fontId="17" fillId="2" borderId="1" xfId="3" applyNumberFormat="1" applyFont="1" applyFill="1" applyBorder="1" applyAlignment="1">
      <alignment horizontal="center" vertical="center" wrapText="1"/>
    </xf>
    <xf numFmtId="168" fontId="17" fillId="2" borderId="1" xfId="3" applyNumberFormat="1" applyFont="1" applyFill="1" applyBorder="1" applyAlignment="1">
      <alignment horizontal="center" vertical="center" wrapText="1"/>
    </xf>
    <xf numFmtId="43" fontId="17" fillId="2" borderId="1" xfId="2" applyFont="1" applyFill="1" applyBorder="1" applyAlignment="1">
      <alignment horizontal="center" vertical="center" wrapText="1"/>
    </xf>
    <xf numFmtId="43" fontId="13" fillId="2" borderId="1" xfId="2" applyFont="1" applyFill="1" applyBorder="1" applyAlignment="1">
      <alignment horizontal="center" vertical="center"/>
    </xf>
    <xf numFmtId="43" fontId="13" fillId="2" borderId="14" xfId="2" applyFont="1" applyFill="1" applyBorder="1" applyAlignment="1">
      <alignment horizontal="center" vertical="center"/>
    </xf>
    <xf numFmtId="0" fontId="16" fillId="3" borderId="13" xfId="3" applyFont="1" applyFill="1" applyBorder="1" applyAlignment="1">
      <alignment horizontal="left" vertical="center"/>
    </xf>
    <xf numFmtId="166" fontId="17" fillId="3" borderId="1" xfId="3" applyNumberFormat="1" applyFont="1" applyFill="1" applyBorder="1" applyAlignment="1">
      <alignment horizontal="center" vertical="center" wrapText="1"/>
    </xf>
    <xf numFmtId="43" fontId="17" fillId="3" borderId="1" xfId="2" applyFont="1" applyFill="1" applyBorder="1" applyAlignment="1">
      <alignment horizontal="center" vertical="center" wrapText="1"/>
    </xf>
    <xf numFmtId="43" fontId="13" fillId="3" borderId="1" xfId="2" applyFont="1" applyFill="1" applyBorder="1" applyAlignment="1">
      <alignment horizontal="center" vertical="center"/>
    </xf>
    <xf numFmtId="43" fontId="13" fillId="3" borderId="14" xfId="2" applyFont="1" applyFill="1" applyBorder="1" applyAlignment="1">
      <alignment horizontal="center" vertical="center"/>
    </xf>
    <xf numFmtId="43" fontId="13" fillId="2" borderId="14" xfId="2" applyFont="1" applyFill="1" applyBorder="1" applyAlignment="1">
      <alignment horizontal="center" vertical="center" wrapText="1"/>
    </xf>
    <xf numFmtId="0" fontId="14" fillId="2" borderId="13" xfId="3" applyFont="1" applyFill="1" applyBorder="1" applyAlignment="1">
      <alignment horizontal="left" vertical="center"/>
    </xf>
    <xf numFmtId="166" fontId="13" fillId="2" borderId="1" xfId="3" applyNumberFormat="1" applyFont="1" applyFill="1" applyBorder="1" applyAlignment="1">
      <alignment horizontal="center" vertical="center" wrapText="1"/>
    </xf>
    <xf numFmtId="43" fontId="13" fillId="2" borderId="1" xfId="2" applyFont="1" applyFill="1" applyBorder="1" applyAlignment="1">
      <alignment horizontal="center" vertical="center" wrapText="1"/>
    </xf>
    <xf numFmtId="165" fontId="16" fillId="3" borderId="16" xfId="3" applyNumberFormat="1" applyFont="1" applyFill="1" applyBorder="1" applyAlignment="1">
      <alignment horizontal="left" vertical="center"/>
    </xf>
    <xf numFmtId="166" fontId="17" fillId="3" borderId="3" xfId="3" applyNumberFormat="1" applyFont="1" applyFill="1" applyBorder="1" applyAlignment="1">
      <alignment horizontal="center" vertical="center" wrapText="1"/>
    </xf>
    <xf numFmtId="43" fontId="17" fillId="3" borderId="3" xfId="2" applyFont="1" applyFill="1" applyBorder="1" applyAlignment="1">
      <alignment horizontal="center" vertical="center" wrapText="1"/>
    </xf>
    <xf numFmtId="43" fontId="13" fillId="3" borderId="17" xfId="2" applyFont="1" applyFill="1" applyBorder="1" applyAlignment="1">
      <alignment horizontal="center" vertical="center"/>
    </xf>
    <xf numFmtId="0" fontId="16" fillId="2" borderId="16" xfId="3" applyFont="1" applyFill="1" applyBorder="1" applyAlignment="1">
      <alignment horizontal="left" vertical="center"/>
    </xf>
    <xf numFmtId="166" fontId="17" fillId="2" borderId="3" xfId="3" applyNumberFormat="1" applyFont="1" applyFill="1" applyBorder="1" applyAlignment="1">
      <alignment horizontal="center" vertical="center" wrapText="1"/>
    </xf>
    <xf numFmtId="43" fontId="17" fillId="2" borderId="3" xfId="2" applyFont="1" applyFill="1" applyBorder="1" applyAlignment="1">
      <alignment horizontal="center" vertical="center" wrapText="1"/>
    </xf>
    <xf numFmtId="43" fontId="13" fillId="2" borderId="17" xfId="2" applyFont="1" applyFill="1" applyBorder="1" applyAlignment="1">
      <alignment horizontal="center" vertical="center"/>
    </xf>
    <xf numFmtId="0" fontId="16" fillId="0" borderId="16" xfId="3" applyFont="1" applyBorder="1" applyAlignment="1">
      <alignment horizontal="left" vertical="center"/>
    </xf>
    <xf numFmtId="166" fontId="17" fillId="0" borderId="3" xfId="3" applyNumberFormat="1" applyFont="1" applyBorder="1" applyAlignment="1">
      <alignment horizontal="left" vertical="center" wrapText="1"/>
    </xf>
    <xf numFmtId="166" fontId="17" fillId="0" borderId="3" xfId="3" applyNumberFormat="1" applyFont="1" applyBorder="1" applyAlignment="1">
      <alignment horizontal="center" vertical="center" wrapText="1"/>
    </xf>
    <xf numFmtId="43" fontId="17" fillId="0" borderId="3" xfId="2" applyFont="1" applyFill="1" applyBorder="1" applyAlignment="1">
      <alignment horizontal="center" vertical="center" wrapText="1"/>
    </xf>
    <xf numFmtId="43" fontId="13" fillId="0" borderId="1" xfId="2" applyFont="1" applyFill="1" applyBorder="1" applyAlignment="1">
      <alignment horizontal="center" vertical="center"/>
    </xf>
    <xf numFmtId="43" fontId="13" fillId="0" borderId="17" xfId="2" applyFont="1" applyFill="1" applyBorder="1" applyAlignment="1">
      <alignment horizontal="center" vertical="center"/>
    </xf>
    <xf numFmtId="0" fontId="13" fillId="0" borderId="0" xfId="0" applyFont="1" applyAlignment="1">
      <alignment vertical="center"/>
    </xf>
    <xf numFmtId="168" fontId="17" fillId="2" borderId="3" xfId="3" applyNumberFormat="1" applyFont="1" applyFill="1" applyBorder="1" applyAlignment="1">
      <alignment horizontal="center" vertical="center" wrapText="1"/>
    </xf>
    <xf numFmtId="0" fontId="16" fillId="3" borderId="16" xfId="3" applyFont="1" applyFill="1" applyBorder="1" applyAlignment="1">
      <alignment horizontal="left" vertical="center"/>
    </xf>
    <xf numFmtId="168" fontId="13" fillId="2" borderId="3" xfId="3" applyNumberFormat="1" applyFont="1" applyFill="1" applyBorder="1" applyAlignment="1">
      <alignment horizontal="center" vertical="center" wrapText="1"/>
    </xf>
    <xf numFmtId="43" fontId="13" fillId="2" borderId="17" xfId="2" applyFont="1" applyFill="1" applyBorder="1" applyAlignment="1">
      <alignment horizontal="center" vertical="center" wrapText="1"/>
    </xf>
    <xf numFmtId="166" fontId="17" fillId="2" borderId="3" xfId="3" applyNumberFormat="1" applyFont="1" applyFill="1" applyBorder="1" applyAlignment="1">
      <alignment horizontal="left" vertical="center" wrapText="1"/>
    </xf>
    <xf numFmtId="0" fontId="13" fillId="2" borderId="0" xfId="0" applyFont="1" applyFill="1" applyAlignment="1">
      <alignment vertical="center"/>
    </xf>
    <xf numFmtId="0" fontId="14" fillId="0" borderId="16" xfId="3" applyFont="1" applyBorder="1" applyAlignment="1">
      <alignment horizontal="left" vertical="center"/>
    </xf>
    <xf numFmtId="166" fontId="13" fillId="0" borderId="3" xfId="3" applyNumberFormat="1" applyFont="1" applyBorder="1" applyAlignment="1">
      <alignment horizontal="center" vertical="center" wrapText="1"/>
    </xf>
    <xf numFmtId="168" fontId="13" fillId="0" borderId="3" xfId="3" applyNumberFormat="1" applyFont="1" applyBorder="1" applyAlignment="1">
      <alignment horizontal="center" vertical="center" wrapText="1"/>
    </xf>
    <xf numFmtId="43" fontId="13" fillId="0" borderId="3" xfId="2" applyFont="1" applyFill="1" applyBorder="1" applyAlignment="1">
      <alignment horizontal="center" vertical="center" wrapText="1"/>
    </xf>
    <xf numFmtId="166" fontId="13" fillId="2" borderId="3" xfId="3" applyNumberFormat="1" applyFont="1" applyFill="1" applyBorder="1" applyAlignment="1">
      <alignment horizontal="center" vertical="center" wrapText="1"/>
    </xf>
    <xf numFmtId="167" fontId="14" fillId="3" borderId="1" xfId="3" applyNumberFormat="1" applyFont="1" applyFill="1" applyBorder="1" applyAlignment="1">
      <alignment horizontal="right" vertical="center" wrapText="1"/>
    </xf>
    <xf numFmtId="167" fontId="14" fillId="3" borderId="14" xfId="3" applyNumberFormat="1" applyFont="1" applyFill="1" applyBorder="1" applyAlignment="1">
      <alignment horizontal="center" vertical="center" wrapText="1"/>
    </xf>
    <xf numFmtId="167" fontId="14" fillId="3" borderId="21" xfId="3" applyNumberFormat="1" applyFont="1" applyFill="1" applyBorder="1" applyAlignment="1">
      <alignment horizontal="right" vertical="center" wrapText="1"/>
    </xf>
    <xf numFmtId="167" fontId="14" fillId="3" borderId="22" xfId="3" applyNumberFormat="1" applyFont="1" applyFill="1" applyBorder="1" applyAlignment="1">
      <alignment horizontal="center" vertical="center" wrapText="1"/>
    </xf>
    <xf numFmtId="0" fontId="13" fillId="0" borderId="0" xfId="0" applyFont="1" applyAlignment="1">
      <alignment horizontal="left" vertical="center"/>
    </xf>
    <xf numFmtId="0" fontId="13" fillId="3" borderId="5" xfId="0" applyFont="1" applyFill="1" applyBorder="1" applyAlignment="1">
      <alignment vertical="center"/>
    </xf>
    <xf numFmtId="0" fontId="13" fillId="3" borderId="15" xfId="0" applyFont="1" applyFill="1" applyBorder="1" applyAlignment="1">
      <alignment vertical="center"/>
    </xf>
    <xf numFmtId="166" fontId="17" fillId="2" borderId="1" xfId="3" applyNumberFormat="1" applyFont="1" applyFill="1" applyBorder="1" applyAlignment="1">
      <alignment horizontal="left" vertical="center" wrapText="1"/>
    </xf>
    <xf numFmtId="0" fontId="13" fillId="0" borderId="1" xfId="0" applyFont="1" applyBorder="1" applyAlignment="1">
      <alignment horizontal="left" vertical="center" wrapText="1"/>
    </xf>
    <xf numFmtId="166" fontId="17" fillId="3" borderId="1" xfId="3" applyNumberFormat="1" applyFont="1" applyFill="1" applyBorder="1" applyAlignment="1">
      <alignment horizontal="left" vertical="center" wrapText="1"/>
    </xf>
    <xf numFmtId="0" fontId="13" fillId="0" borderId="1" xfId="0" applyFont="1" applyBorder="1" applyAlignment="1">
      <alignment vertical="center" wrapText="1"/>
    </xf>
    <xf numFmtId="166" fontId="16" fillId="3" borderId="3" xfId="3" applyNumberFormat="1" applyFont="1" applyFill="1" applyBorder="1" applyAlignment="1">
      <alignment horizontal="center" vertical="center" wrapText="1"/>
    </xf>
    <xf numFmtId="166" fontId="17" fillId="0" borderId="1" xfId="3" applyNumberFormat="1" applyFont="1" applyBorder="1" applyAlignment="1">
      <alignment horizontal="left" vertical="center" wrapText="1"/>
    </xf>
    <xf numFmtId="0" fontId="17" fillId="0" borderId="1" xfId="0" applyFont="1" applyBorder="1" applyAlignment="1">
      <alignment vertical="center" wrapText="1"/>
    </xf>
    <xf numFmtId="166" fontId="13" fillId="0" borderId="3" xfId="3" applyNumberFormat="1" applyFont="1" applyBorder="1" applyAlignment="1">
      <alignment horizontal="left" vertical="center" wrapText="1"/>
    </xf>
    <xf numFmtId="164" fontId="13" fillId="0" borderId="0" xfId="2" applyNumberFormat="1" applyFont="1" applyFill="1" applyAlignment="1">
      <alignment vertical="center"/>
    </xf>
    <xf numFmtId="166" fontId="13" fillId="2" borderId="3" xfId="3" applyNumberFormat="1" applyFont="1" applyFill="1" applyBorder="1" applyAlignment="1">
      <alignment horizontal="left" vertical="center" wrapText="1"/>
    </xf>
    <xf numFmtId="0" fontId="14" fillId="0" borderId="0" xfId="0" applyFont="1" applyAlignment="1">
      <alignment vertical="center"/>
    </xf>
    <xf numFmtId="0" fontId="20" fillId="0" borderId="0" xfId="0" applyFont="1" applyAlignment="1">
      <alignment vertical="center"/>
    </xf>
    <xf numFmtId="0" fontId="22" fillId="0" borderId="0" xfId="0" applyFont="1" applyAlignment="1">
      <alignment vertical="center" wrapText="1"/>
    </xf>
    <xf numFmtId="0" fontId="2" fillId="5" borderId="2" xfId="0" applyFont="1" applyFill="1" applyBorder="1" applyAlignment="1">
      <alignment horizontal="center" vertical="center"/>
    </xf>
    <xf numFmtId="0" fontId="2" fillId="5" borderId="1" xfId="1" applyFont="1" applyFill="1" applyBorder="1" applyAlignment="1">
      <alignment horizontal="center" vertical="center"/>
    </xf>
    <xf numFmtId="0" fontId="2" fillId="5" borderId="1" xfId="1" applyFont="1" applyFill="1" applyBorder="1" applyAlignment="1">
      <alignment horizontal="center" vertical="center" wrapText="1"/>
    </xf>
    <xf numFmtId="2" fontId="2" fillId="5" borderId="1" xfId="1" applyNumberFormat="1" applyFont="1" applyFill="1" applyBorder="1" applyAlignment="1">
      <alignment horizontal="center" vertical="center" wrapText="1"/>
    </xf>
    <xf numFmtId="165" fontId="16" fillId="5" borderId="1" xfId="3" applyNumberFormat="1" applyFont="1" applyFill="1" applyBorder="1" applyAlignment="1">
      <alignment horizontal="left" vertical="center" wrapText="1"/>
    </xf>
    <xf numFmtId="166" fontId="16" fillId="5" borderId="1" xfId="3" applyNumberFormat="1"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vertical="center"/>
    </xf>
    <xf numFmtId="0" fontId="23" fillId="0" borderId="0" xfId="3" applyFont="1" applyAlignment="1">
      <alignment horizontal="center" vertical="center" wrapText="1"/>
    </xf>
    <xf numFmtId="0" fontId="16" fillId="3" borderId="12" xfId="3" applyFont="1" applyFill="1" applyBorder="1" applyAlignment="1">
      <alignment horizontal="right" vertical="center"/>
    </xf>
    <xf numFmtId="0" fontId="16" fillId="3" borderId="5" xfId="3" applyFont="1" applyFill="1" applyBorder="1" applyAlignment="1">
      <alignment horizontal="right" vertical="center"/>
    </xf>
    <xf numFmtId="0" fontId="16" fillId="3" borderId="6" xfId="3" applyFont="1" applyFill="1" applyBorder="1" applyAlignment="1">
      <alignment horizontal="right" vertical="center"/>
    </xf>
    <xf numFmtId="165" fontId="16" fillId="3" borderId="18" xfId="3" applyNumberFormat="1" applyFont="1" applyFill="1" applyBorder="1" applyAlignment="1">
      <alignment horizontal="right" vertical="center"/>
    </xf>
    <xf numFmtId="165" fontId="16" fillId="3" borderId="19" xfId="3" applyNumberFormat="1" applyFont="1" applyFill="1" applyBorder="1" applyAlignment="1">
      <alignment horizontal="right" vertical="center"/>
    </xf>
    <xf numFmtId="165" fontId="16" fillId="3" borderId="20" xfId="3" applyNumberFormat="1" applyFont="1" applyFill="1" applyBorder="1" applyAlignment="1">
      <alignment horizontal="right" vertical="center"/>
    </xf>
    <xf numFmtId="0" fontId="15" fillId="4" borderId="0" xfId="3" applyFont="1" applyFill="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170" fontId="2" fillId="5" borderId="1" xfId="0" applyNumberFormat="1" applyFont="1" applyFill="1" applyBorder="1" applyAlignment="1">
      <alignment horizontal="center" vertical="center"/>
    </xf>
    <xf numFmtId="170" fontId="2" fillId="5" borderId="2" xfId="0" applyNumberFormat="1" applyFont="1" applyFill="1" applyBorder="1" applyAlignment="1">
      <alignment horizontal="center" vertical="center"/>
    </xf>
    <xf numFmtId="0" fontId="2" fillId="0" borderId="11" xfId="0" applyFont="1" applyBorder="1" applyAlignment="1">
      <alignment horizontal="left"/>
    </xf>
    <xf numFmtId="164" fontId="2" fillId="0" borderId="1" xfId="2" applyNumberFormat="1" applyFont="1" applyBorder="1" applyAlignment="1">
      <alignment horizontal="right"/>
    </xf>
    <xf numFmtId="0" fontId="0" fillId="0" borderId="0" xfId="0" applyAlignment="1">
      <alignment horizontal="center" vertical="center"/>
    </xf>
    <xf numFmtId="169" fontId="9" fillId="4" borderId="11" xfId="1" applyNumberFormat="1" applyFont="1" applyFill="1" applyBorder="1" applyAlignment="1">
      <alignment horizontal="center" vertical="center" wrapText="1"/>
    </xf>
    <xf numFmtId="169" fontId="10" fillId="0" borderId="12" xfId="1" applyNumberFormat="1" applyFont="1" applyBorder="1" applyAlignment="1">
      <alignment horizontal="center" vertical="center" wrapText="1"/>
    </xf>
    <xf numFmtId="169" fontId="10" fillId="0" borderId="5" xfId="1" applyNumberFormat="1" applyFont="1" applyBorder="1" applyAlignment="1">
      <alignment horizontal="center" vertical="center" wrapText="1"/>
    </xf>
    <xf numFmtId="0" fontId="21" fillId="0" borderId="0" xfId="0" applyFont="1" applyFill="1" applyAlignment="1">
      <alignment horizontal="center" vertical="center"/>
    </xf>
  </cellXfs>
  <cellStyles count="10">
    <cellStyle name="Comma" xfId="2" builtinId="3"/>
    <cellStyle name="Comma 2" xfId="8" xr:uid="{0F7AAF00-B11D-4BB1-A7EA-3191E20831CD}"/>
    <cellStyle name="Comma 3" xfId="9" xr:uid="{A80C7A14-A184-445D-BEB7-25B83A203052}"/>
    <cellStyle name="Comma 4" xfId="7" xr:uid="{484AE3CE-C8FB-4E19-A7CA-84DB9B7E2A3F}"/>
    <cellStyle name="Comma 5" xfId="6" xr:uid="{3106BC15-7233-48D2-8966-AF7D83409AB7}"/>
    <cellStyle name="Excel Built-in Normal" xfId="3" xr:uid="{FD2697F8-129B-489C-ACD9-EB9C66B2397A}"/>
    <cellStyle name="Normal" xfId="0" builtinId="0"/>
    <cellStyle name="Normal 2" xfId="4" xr:uid="{70DDB927-9380-44C8-898B-8915C3BA753D}"/>
    <cellStyle name="Normal 3" xfId="1" xr:uid="{D942860F-886E-4365-9671-1ACD4965E824}"/>
    <cellStyle name="Normal 4" xfId="5" xr:uid="{D0D6458F-57E9-4F2A-89F8-701F5EDD51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53235</xdr:colOff>
      <xdr:row>0</xdr:row>
      <xdr:rowOff>9439</xdr:rowOff>
    </xdr:from>
    <xdr:to>
      <xdr:col>1</xdr:col>
      <xdr:colOff>726621</xdr:colOff>
      <xdr:row>1</xdr:row>
      <xdr:rowOff>146414</xdr:rowOff>
    </xdr:to>
    <xdr:pic>
      <xdr:nvPicPr>
        <xdr:cNvPr id="2" name="Picture 1">
          <a:extLst>
            <a:ext uri="{FF2B5EF4-FFF2-40B4-BE49-F238E27FC236}">
              <a16:creationId xmlns:a16="http://schemas.microsoft.com/office/drawing/2014/main" id="{72286799-EB65-4FD8-B610-A2FF8634A0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35" y="9439"/>
          <a:ext cx="1057107" cy="439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76200</xdr:colOff>
      <xdr:row>3</xdr:row>
      <xdr:rowOff>7620</xdr:rowOff>
    </xdr:from>
    <xdr:to>
      <xdr:col>17</xdr:col>
      <xdr:colOff>434340</xdr:colOff>
      <xdr:row>21</xdr:row>
      <xdr:rowOff>68580</xdr:rowOff>
    </xdr:to>
    <xdr:sp macro="" textlink="">
      <xdr:nvSpPr>
        <xdr:cNvPr id="2" name="Rectangle 1">
          <a:extLst>
            <a:ext uri="{FF2B5EF4-FFF2-40B4-BE49-F238E27FC236}">
              <a16:creationId xmlns:a16="http://schemas.microsoft.com/office/drawing/2014/main" id="{4D7924BA-D00F-8A2E-9C3C-ABC9BB0034F0}"/>
            </a:ext>
          </a:extLst>
        </xdr:cNvPr>
        <xdr:cNvSpPr/>
      </xdr:nvSpPr>
      <xdr:spPr>
        <a:xfrm>
          <a:off x="1905000" y="556260"/>
          <a:ext cx="8892540" cy="33528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IN" sz="1100"/>
        </a:p>
      </xdr:txBody>
    </xdr:sp>
    <xdr:clientData/>
  </xdr:twoCellAnchor>
  <xdr:twoCellAnchor>
    <xdr:from>
      <xdr:col>1</xdr:col>
      <xdr:colOff>571500</xdr:colOff>
      <xdr:row>3</xdr:row>
      <xdr:rowOff>7620</xdr:rowOff>
    </xdr:from>
    <xdr:to>
      <xdr:col>3</xdr:col>
      <xdr:colOff>83820</xdr:colOff>
      <xdr:row>21</xdr:row>
      <xdr:rowOff>68580</xdr:rowOff>
    </xdr:to>
    <xdr:sp macro="" textlink="">
      <xdr:nvSpPr>
        <xdr:cNvPr id="5" name="Rectangle 4">
          <a:extLst>
            <a:ext uri="{FF2B5EF4-FFF2-40B4-BE49-F238E27FC236}">
              <a16:creationId xmlns:a16="http://schemas.microsoft.com/office/drawing/2014/main" id="{06DA083A-EDF2-4519-B52F-A08833D902D6}"/>
            </a:ext>
          </a:extLst>
        </xdr:cNvPr>
        <xdr:cNvSpPr/>
      </xdr:nvSpPr>
      <xdr:spPr>
        <a:xfrm>
          <a:off x="1181100" y="556260"/>
          <a:ext cx="731520" cy="3352800"/>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IN" sz="3600"/>
            <a:t>R</a:t>
          </a:r>
        </a:p>
        <a:p>
          <a:pPr algn="ctr"/>
          <a:r>
            <a:rPr lang="en-IN" sz="3600"/>
            <a:t>A</a:t>
          </a:r>
        </a:p>
        <a:p>
          <a:pPr algn="ctr"/>
          <a:r>
            <a:rPr lang="en-IN" sz="3600"/>
            <a:t>M</a:t>
          </a:r>
        </a:p>
        <a:p>
          <a:pPr algn="ctr"/>
          <a:r>
            <a:rPr lang="en-IN" sz="3600"/>
            <a:t>P</a:t>
          </a:r>
        </a:p>
      </xdr:txBody>
    </xdr:sp>
    <xdr:clientData/>
  </xdr:twoCellAnchor>
  <xdr:twoCellAnchor>
    <xdr:from>
      <xdr:col>17</xdr:col>
      <xdr:colOff>426720</xdr:colOff>
      <xdr:row>3</xdr:row>
      <xdr:rowOff>7620</xdr:rowOff>
    </xdr:from>
    <xdr:to>
      <xdr:col>18</xdr:col>
      <xdr:colOff>548640</xdr:colOff>
      <xdr:row>21</xdr:row>
      <xdr:rowOff>68580</xdr:rowOff>
    </xdr:to>
    <xdr:sp macro="" textlink="">
      <xdr:nvSpPr>
        <xdr:cNvPr id="7" name="Rectangle 6">
          <a:extLst>
            <a:ext uri="{FF2B5EF4-FFF2-40B4-BE49-F238E27FC236}">
              <a16:creationId xmlns:a16="http://schemas.microsoft.com/office/drawing/2014/main" id="{930675DC-5319-E7AB-DAA4-6F66DD55375D}"/>
            </a:ext>
          </a:extLst>
        </xdr:cNvPr>
        <xdr:cNvSpPr/>
      </xdr:nvSpPr>
      <xdr:spPr>
        <a:xfrm>
          <a:off x="10789920" y="556260"/>
          <a:ext cx="731520" cy="3352800"/>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IN" sz="3600">
              <a:solidFill>
                <a:schemeClr val="dk1"/>
              </a:solidFill>
              <a:effectLst/>
              <a:latin typeface="+mn-lt"/>
              <a:ea typeface="+mn-ea"/>
              <a:cs typeface="+mn-cs"/>
            </a:rPr>
            <a:t>R</a:t>
          </a:r>
          <a:endParaRPr lang="en-IN" sz="3600">
            <a:effectLst/>
          </a:endParaRPr>
        </a:p>
        <a:p>
          <a:pPr algn="ctr"/>
          <a:r>
            <a:rPr lang="en-IN" sz="3600">
              <a:solidFill>
                <a:schemeClr val="dk1"/>
              </a:solidFill>
              <a:effectLst/>
              <a:latin typeface="+mn-lt"/>
              <a:ea typeface="+mn-ea"/>
              <a:cs typeface="+mn-cs"/>
            </a:rPr>
            <a:t>A</a:t>
          </a:r>
          <a:endParaRPr lang="en-IN" sz="3600">
            <a:effectLst/>
          </a:endParaRPr>
        </a:p>
        <a:p>
          <a:pPr algn="ctr"/>
          <a:r>
            <a:rPr lang="en-IN" sz="3600">
              <a:solidFill>
                <a:schemeClr val="dk1"/>
              </a:solidFill>
              <a:effectLst/>
              <a:latin typeface="+mn-lt"/>
              <a:ea typeface="+mn-ea"/>
              <a:cs typeface="+mn-cs"/>
            </a:rPr>
            <a:t>M</a:t>
          </a:r>
          <a:endParaRPr lang="en-IN" sz="3600">
            <a:effectLst/>
          </a:endParaRPr>
        </a:p>
        <a:p>
          <a:pPr algn="ctr"/>
          <a:r>
            <a:rPr lang="en-IN" sz="3600">
              <a:solidFill>
                <a:schemeClr val="dk1"/>
              </a:solidFill>
              <a:effectLst/>
              <a:latin typeface="+mn-lt"/>
              <a:ea typeface="+mn-ea"/>
              <a:cs typeface="+mn-cs"/>
            </a:rPr>
            <a:t>P</a:t>
          </a:r>
          <a:endParaRPr lang="en-IN" sz="3600">
            <a:effectLst/>
          </a:endParaRPr>
        </a:p>
      </xdr:txBody>
    </xdr:sp>
    <xdr:clientData/>
  </xdr:twoCellAnchor>
  <xdr:twoCellAnchor>
    <xdr:from>
      <xdr:col>3</xdr:col>
      <xdr:colOff>91440</xdr:colOff>
      <xdr:row>3</xdr:row>
      <xdr:rowOff>7620</xdr:rowOff>
    </xdr:from>
    <xdr:to>
      <xdr:col>5</xdr:col>
      <xdr:colOff>7620</xdr:colOff>
      <xdr:row>8</xdr:row>
      <xdr:rowOff>68580</xdr:rowOff>
    </xdr:to>
    <xdr:sp macro="" textlink="">
      <xdr:nvSpPr>
        <xdr:cNvPr id="8" name="Flowchart: Process 7">
          <a:extLst>
            <a:ext uri="{FF2B5EF4-FFF2-40B4-BE49-F238E27FC236}">
              <a16:creationId xmlns:a16="http://schemas.microsoft.com/office/drawing/2014/main" id="{08900FF2-C682-5260-2F8A-574E23A2B3C7}"/>
            </a:ext>
          </a:extLst>
        </xdr:cNvPr>
        <xdr:cNvSpPr/>
      </xdr:nvSpPr>
      <xdr:spPr>
        <a:xfrm>
          <a:off x="1920240" y="556260"/>
          <a:ext cx="1135380" cy="975360"/>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IN" sz="1100"/>
            <a:t>Toilet for Handicap</a:t>
          </a:r>
        </a:p>
        <a:p>
          <a:pPr algn="ctr"/>
          <a:r>
            <a:rPr lang="en-IN" sz="1100"/>
            <a:t>Size 2 x 1.5</a:t>
          </a:r>
        </a:p>
      </xdr:txBody>
    </xdr:sp>
    <xdr:clientData/>
  </xdr:twoCellAnchor>
  <xdr:twoCellAnchor>
    <xdr:from>
      <xdr:col>5</xdr:col>
      <xdr:colOff>15240</xdr:colOff>
      <xdr:row>6</xdr:row>
      <xdr:rowOff>83820</xdr:rowOff>
    </xdr:from>
    <xdr:to>
      <xdr:col>7</xdr:col>
      <xdr:colOff>76200</xdr:colOff>
      <xdr:row>8</xdr:row>
      <xdr:rowOff>76200</xdr:rowOff>
    </xdr:to>
    <xdr:sp macro="" textlink="">
      <xdr:nvSpPr>
        <xdr:cNvPr id="9" name="Flowchart: Process 8">
          <a:extLst>
            <a:ext uri="{FF2B5EF4-FFF2-40B4-BE49-F238E27FC236}">
              <a16:creationId xmlns:a16="http://schemas.microsoft.com/office/drawing/2014/main" id="{D0C04FEB-3038-7C81-EC89-6304F6931394}"/>
            </a:ext>
          </a:extLst>
        </xdr:cNvPr>
        <xdr:cNvSpPr/>
      </xdr:nvSpPr>
      <xdr:spPr>
        <a:xfrm>
          <a:off x="3063240" y="1181100"/>
          <a:ext cx="1280160" cy="358140"/>
        </a:xfrm>
        <a:prstGeom prst="flowChartProcess">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IN" sz="1100"/>
            <a:t>Urinal</a:t>
          </a:r>
          <a:r>
            <a:rPr lang="en-IN" sz="1100" baseline="0"/>
            <a:t> Pots</a:t>
          </a:r>
          <a:endParaRPr lang="en-IN" sz="1100"/>
        </a:p>
      </xdr:txBody>
    </xdr:sp>
    <xdr:clientData/>
  </xdr:twoCellAnchor>
  <xdr:twoCellAnchor>
    <xdr:from>
      <xdr:col>5</xdr:col>
      <xdr:colOff>327660</xdr:colOff>
      <xdr:row>2</xdr:row>
      <xdr:rowOff>175260</xdr:rowOff>
    </xdr:from>
    <xdr:to>
      <xdr:col>5</xdr:col>
      <xdr:colOff>327660</xdr:colOff>
      <xdr:row>5</xdr:row>
      <xdr:rowOff>68580</xdr:rowOff>
    </xdr:to>
    <xdr:cxnSp macro="">
      <xdr:nvCxnSpPr>
        <xdr:cNvPr id="11" name="Straight Connector 10">
          <a:extLst>
            <a:ext uri="{FF2B5EF4-FFF2-40B4-BE49-F238E27FC236}">
              <a16:creationId xmlns:a16="http://schemas.microsoft.com/office/drawing/2014/main" id="{FB7A8973-4492-0FF3-E175-FAC13C88A44C}"/>
            </a:ext>
          </a:extLst>
        </xdr:cNvPr>
        <xdr:cNvCxnSpPr/>
      </xdr:nvCxnSpPr>
      <xdr:spPr>
        <a:xfrm>
          <a:off x="3375660" y="541020"/>
          <a:ext cx="0" cy="44196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53340</xdr:colOff>
      <xdr:row>2</xdr:row>
      <xdr:rowOff>175260</xdr:rowOff>
    </xdr:from>
    <xdr:to>
      <xdr:col>6</xdr:col>
      <xdr:colOff>53340</xdr:colOff>
      <xdr:row>5</xdr:row>
      <xdr:rowOff>68580</xdr:rowOff>
    </xdr:to>
    <xdr:cxnSp macro="">
      <xdr:nvCxnSpPr>
        <xdr:cNvPr id="14" name="Straight Connector 13">
          <a:extLst>
            <a:ext uri="{FF2B5EF4-FFF2-40B4-BE49-F238E27FC236}">
              <a16:creationId xmlns:a16="http://schemas.microsoft.com/office/drawing/2014/main" id="{47D525A2-A2BB-98C8-58DD-C14763B36D0F}"/>
            </a:ext>
          </a:extLst>
        </xdr:cNvPr>
        <xdr:cNvCxnSpPr/>
      </xdr:nvCxnSpPr>
      <xdr:spPr>
        <a:xfrm>
          <a:off x="3710940" y="541020"/>
          <a:ext cx="0" cy="44196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358140</xdr:colOff>
      <xdr:row>2</xdr:row>
      <xdr:rowOff>175260</xdr:rowOff>
    </xdr:from>
    <xdr:to>
      <xdr:col>6</xdr:col>
      <xdr:colOff>358140</xdr:colOff>
      <xdr:row>5</xdr:row>
      <xdr:rowOff>68580</xdr:rowOff>
    </xdr:to>
    <xdr:cxnSp macro="">
      <xdr:nvCxnSpPr>
        <xdr:cNvPr id="15" name="Straight Connector 14">
          <a:extLst>
            <a:ext uri="{FF2B5EF4-FFF2-40B4-BE49-F238E27FC236}">
              <a16:creationId xmlns:a16="http://schemas.microsoft.com/office/drawing/2014/main" id="{0DD5955B-E092-AE16-9299-D5E2E2ED7909}"/>
            </a:ext>
          </a:extLst>
        </xdr:cNvPr>
        <xdr:cNvCxnSpPr/>
      </xdr:nvCxnSpPr>
      <xdr:spPr>
        <a:xfrm>
          <a:off x="4015740" y="541020"/>
          <a:ext cx="0" cy="44196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76200</xdr:colOff>
      <xdr:row>3</xdr:row>
      <xdr:rowOff>7620</xdr:rowOff>
    </xdr:from>
    <xdr:to>
      <xdr:col>8</xdr:col>
      <xdr:colOff>320040</xdr:colOff>
      <xdr:row>8</xdr:row>
      <xdr:rowOff>68580</xdr:rowOff>
    </xdr:to>
    <xdr:sp macro="" textlink="">
      <xdr:nvSpPr>
        <xdr:cNvPr id="16" name="Flowchart: Process 15">
          <a:extLst>
            <a:ext uri="{FF2B5EF4-FFF2-40B4-BE49-F238E27FC236}">
              <a16:creationId xmlns:a16="http://schemas.microsoft.com/office/drawing/2014/main" id="{3108D026-158D-40E4-9DA6-57E0F0AEC127}"/>
            </a:ext>
          </a:extLst>
        </xdr:cNvPr>
        <xdr:cNvSpPr/>
      </xdr:nvSpPr>
      <xdr:spPr>
        <a:xfrm>
          <a:off x="4343400" y="556260"/>
          <a:ext cx="853440" cy="975360"/>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IN" sz="1100"/>
            <a:t>Toilet</a:t>
          </a:r>
        </a:p>
        <a:p>
          <a:pPr algn="ctr"/>
          <a:r>
            <a:rPr lang="en-IN" sz="1100"/>
            <a:t>1.5 x 1.25</a:t>
          </a:r>
        </a:p>
      </xdr:txBody>
    </xdr:sp>
    <xdr:clientData/>
  </xdr:twoCellAnchor>
  <xdr:twoCellAnchor>
    <xdr:from>
      <xdr:col>8</xdr:col>
      <xdr:colOff>312420</xdr:colOff>
      <xdr:row>3</xdr:row>
      <xdr:rowOff>7620</xdr:rowOff>
    </xdr:from>
    <xdr:to>
      <xdr:col>9</xdr:col>
      <xdr:colOff>556260</xdr:colOff>
      <xdr:row>8</xdr:row>
      <xdr:rowOff>68580</xdr:rowOff>
    </xdr:to>
    <xdr:sp macro="" textlink="">
      <xdr:nvSpPr>
        <xdr:cNvPr id="17" name="Flowchart: Process 16">
          <a:extLst>
            <a:ext uri="{FF2B5EF4-FFF2-40B4-BE49-F238E27FC236}">
              <a16:creationId xmlns:a16="http://schemas.microsoft.com/office/drawing/2014/main" id="{4895E0A0-20CF-501F-84AE-5C4254692852}"/>
            </a:ext>
          </a:extLst>
        </xdr:cNvPr>
        <xdr:cNvSpPr/>
      </xdr:nvSpPr>
      <xdr:spPr>
        <a:xfrm>
          <a:off x="5189220" y="556260"/>
          <a:ext cx="853440" cy="975360"/>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IN" sz="1100">
              <a:solidFill>
                <a:schemeClr val="dk1"/>
              </a:solidFill>
              <a:effectLst/>
              <a:latin typeface="+mn-lt"/>
              <a:ea typeface="+mn-ea"/>
              <a:cs typeface="+mn-cs"/>
            </a:rPr>
            <a:t>Toilet</a:t>
          </a:r>
          <a:endParaRPr lang="en-IN">
            <a:effectLst/>
          </a:endParaRPr>
        </a:p>
        <a:p>
          <a:pPr algn="ctr"/>
          <a:r>
            <a:rPr lang="en-IN" sz="1100">
              <a:solidFill>
                <a:schemeClr val="dk1"/>
              </a:solidFill>
              <a:effectLst/>
              <a:latin typeface="+mn-lt"/>
              <a:ea typeface="+mn-ea"/>
              <a:cs typeface="+mn-cs"/>
            </a:rPr>
            <a:t>1.5 x 1.25</a:t>
          </a:r>
          <a:endParaRPr lang="en-IN">
            <a:effectLst/>
          </a:endParaRPr>
        </a:p>
      </xdr:txBody>
    </xdr:sp>
    <xdr:clientData/>
  </xdr:twoCellAnchor>
  <xdr:twoCellAnchor>
    <xdr:from>
      <xdr:col>7</xdr:col>
      <xdr:colOff>76200</xdr:colOff>
      <xdr:row>16</xdr:row>
      <xdr:rowOff>7620</xdr:rowOff>
    </xdr:from>
    <xdr:to>
      <xdr:col>8</xdr:col>
      <xdr:colOff>320040</xdr:colOff>
      <xdr:row>21</xdr:row>
      <xdr:rowOff>68580</xdr:rowOff>
    </xdr:to>
    <xdr:sp macro="" textlink="">
      <xdr:nvSpPr>
        <xdr:cNvPr id="18" name="Flowchart: Process 17">
          <a:extLst>
            <a:ext uri="{FF2B5EF4-FFF2-40B4-BE49-F238E27FC236}">
              <a16:creationId xmlns:a16="http://schemas.microsoft.com/office/drawing/2014/main" id="{3A635C5E-CBD7-7257-409F-D5848CD887E1}"/>
            </a:ext>
          </a:extLst>
        </xdr:cNvPr>
        <xdr:cNvSpPr/>
      </xdr:nvSpPr>
      <xdr:spPr>
        <a:xfrm>
          <a:off x="4343400" y="2933700"/>
          <a:ext cx="853440" cy="975360"/>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IN" sz="1100"/>
            <a:t>Toilet</a:t>
          </a:r>
        </a:p>
        <a:p>
          <a:pPr algn="ctr"/>
          <a:r>
            <a:rPr lang="en-IN" sz="1100"/>
            <a:t>1.5 x 1.25</a:t>
          </a:r>
        </a:p>
      </xdr:txBody>
    </xdr:sp>
    <xdr:clientData/>
  </xdr:twoCellAnchor>
  <xdr:twoCellAnchor>
    <xdr:from>
      <xdr:col>4</xdr:col>
      <xdr:colOff>525780</xdr:colOff>
      <xdr:row>19</xdr:row>
      <xdr:rowOff>83820</xdr:rowOff>
    </xdr:from>
    <xdr:to>
      <xdr:col>6</xdr:col>
      <xdr:colOff>586740</xdr:colOff>
      <xdr:row>21</xdr:row>
      <xdr:rowOff>76200</xdr:rowOff>
    </xdr:to>
    <xdr:sp macro="" textlink="">
      <xdr:nvSpPr>
        <xdr:cNvPr id="20" name="Flowchart: Process 19">
          <a:extLst>
            <a:ext uri="{FF2B5EF4-FFF2-40B4-BE49-F238E27FC236}">
              <a16:creationId xmlns:a16="http://schemas.microsoft.com/office/drawing/2014/main" id="{EFAA402A-6B3B-BDD6-3162-CA5F351D1A5F}"/>
            </a:ext>
          </a:extLst>
        </xdr:cNvPr>
        <xdr:cNvSpPr/>
      </xdr:nvSpPr>
      <xdr:spPr>
        <a:xfrm>
          <a:off x="2964180" y="3558540"/>
          <a:ext cx="1280160" cy="358140"/>
        </a:xfrm>
        <a:prstGeom prst="flowChartProcess">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IN" sz="1100"/>
            <a:t>Wash Basin</a:t>
          </a:r>
        </a:p>
      </xdr:txBody>
    </xdr:sp>
    <xdr:clientData/>
  </xdr:twoCellAnchor>
  <xdr:twoCellAnchor>
    <xdr:from>
      <xdr:col>9</xdr:col>
      <xdr:colOff>556260</xdr:colOff>
      <xdr:row>3</xdr:row>
      <xdr:rowOff>7620</xdr:rowOff>
    </xdr:from>
    <xdr:to>
      <xdr:col>9</xdr:col>
      <xdr:colOff>601980</xdr:colOff>
      <xdr:row>21</xdr:row>
      <xdr:rowOff>76200</xdr:rowOff>
    </xdr:to>
    <xdr:sp macro="" textlink="">
      <xdr:nvSpPr>
        <xdr:cNvPr id="21" name="Flowchart: Process 20">
          <a:extLst>
            <a:ext uri="{FF2B5EF4-FFF2-40B4-BE49-F238E27FC236}">
              <a16:creationId xmlns:a16="http://schemas.microsoft.com/office/drawing/2014/main" id="{182548AE-7000-E19D-3FA8-D01E197C9FDE}"/>
            </a:ext>
          </a:extLst>
        </xdr:cNvPr>
        <xdr:cNvSpPr/>
      </xdr:nvSpPr>
      <xdr:spPr>
        <a:xfrm>
          <a:off x="6042660" y="556260"/>
          <a:ext cx="45720" cy="3360420"/>
        </a:xfrm>
        <a:prstGeom prst="flowChartProcess">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IN" sz="1100"/>
        </a:p>
      </xdr:txBody>
    </xdr:sp>
    <xdr:clientData/>
  </xdr:twoCellAnchor>
  <xdr:twoCellAnchor>
    <xdr:from>
      <xdr:col>3</xdr:col>
      <xdr:colOff>76200</xdr:colOff>
      <xdr:row>18</xdr:row>
      <xdr:rowOff>106680</xdr:rowOff>
    </xdr:from>
    <xdr:to>
      <xdr:col>7</xdr:col>
      <xdr:colOff>68580</xdr:colOff>
      <xdr:row>18</xdr:row>
      <xdr:rowOff>129540</xdr:rowOff>
    </xdr:to>
    <xdr:cxnSp macro="">
      <xdr:nvCxnSpPr>
        <xdr:cNvPr id="23" name="Straight Arrow Connector 22">
          <a:extLst>
            <a:ext uri="{FF2B5EF4-FFF2-40B4-BE49-F238E27FC236}">
              <a16:creationId xmlns:a16="http://schemas.microsoft.com/office/drawing/2014/main" id="{436A2583-2427-0587-A4A4-3F68F78ECF8B}"/>
            </a:ext>
          </a:extLst>
        </xdr:cNvPr>
        <xdr:cNvCxnSpPr>
          <a:cxnSpLocks/>
        </xdr:cNvCxnSpPr>
      </xdr:nvCxnSpPr>
      <xdr:spPr>
        <a:xfrm>
          <a:off x="1905000" y="3398520"/>
          <a:ext cx="2430780" cy="2286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4</xdr:col>
      <xdr:colOff>335280</xdr:colOff>
      <xdr:row>17</xdr:row>
      <xdr:rowOff>60960</xdr:rowOff>
    </xdr:from>
    <xdr:ext cx="469809" cy="264560"/>
    <xdr:sp macro="" textlink="">
      <xdr:nvSpPr>
        <xdr:cNvPr id="26" name="TextBox 25">
          <a:extLst>
            <a:ext uri="{FF2B5EF4-FFF2-40B4-BE49-F238E27FC236}">
              <a16:creationId xmlns:a16="http://schemas.microsoft.com/office/drawing/2014/main" id="{E57C73C7-19B9-F4A2-FD0B-4441DB119F66}"/>
            </a:ext>
          </a:extLst>
        </xdr:cNvPr>
        <xdr:cNvSpPr txBox="1"/>
      </xdr:nvSpPr>
      <xdr:spPr>
        <a:xfrm>
          <a:off x="2773680" y="3169920"/>
          <a:ext cx="46980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100"/>
            <a:t>6</a:t>
          </a:r>
          <a:r>
            <a:rPr lang="en-IN" sz="1100" baseline="0"/>
            <a:t> Mtr</a:t>
          </a:r>
          <a:endParaRPr lang="en-IN" sz="1100"/>
        </a:p>
      </xdr:txBody>
    </xdr:sp>
    <xdr:clientData/>
  </xdr:oneCellAnchor>
  <xdr:twoCellAnchor>
    <xdr:from>
      <xdr:col>3</xdr:col>
      <xdr:colOff>190500</xdr:colOff>
      <xdr:row>8</xdr:row>
      <xdr:rowOff>68580</xdr:rowOff>
    </xdr:from>
    <xdr:to>
      <xdr:col>3</xdr:col>
      <xdr:colOff>190500</xdr:colOff>
      <xdr:row>21</xdr:row>
      <xdr:rowOff>106680</xdr:rowOff>
    </xdr:to>
    <xdr:cxnSp macro="">
      <xdr:nvCxnSpPr>
        <xdr:cNvPr id="27" name="Straight Arrow Connector 26">
          <a:extLst>
            <a:ext uri="{FF2B5EF4-FFF2-40B4-BE49-F238E27FC236}">
              <a16:creationId xmlns:a16="http://schemas.microsoft.com/office/drawing/2014/main" id="{C4411DD8-5D96-44D2-B52E-D7739855087E}"/>
            </a:ext>
          </a:extLst>
        </xdr:cNvPr>
        <xdr:cNvCxnSpPr/>
      </xdr:nvCxnSpPr>
      <xdr:spPr>
        <a:xfrm>
          <a:off x="2019300" y="1531620"/>
          <a:ext cx="0" cy="241554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3</xdr:col>
      <xdr:colOff>175260</xdr:colOff>
      <xdr:row>14</xdr:row>
      <xdr:rowOff>15240</xdr:rowOff>
    </xdr:from>
    <xdr:ext cx="469809" cy="264560"/>
    <xdr:sp macro="" textlink="">
      <xdr:nvSpPr>
        <xdr:cNvPr id="31" name="TextBox 30">
          <a:extLst>
            <a:ext uri="{FF2B5EF4-FFF2-40B4-BE49-F238E27FC236}">
              <a16:creationId xmlns:a16="http://schemas.microsoft.com/office/drawing/2014/main" id="{BC376B2C-3E66-E419-41CA-4F31E872BB21}"/>
            </a:ext>
          </a:extLst>
        </xdr:cNvPr>
        <xdr:cNvSpPr txBox="1"/>
      </xdr:nvSpPr>
      <xdr:spPr>
        <a:xfrm>
          <a:off x="2004060" y="2575560"/>
          <a:ext cx="46980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100" baseline="0"/>
            <a:t>3 Mtr</a:t>
          </a:r>
          <a:endParaRPr lang="en-IN" sz="1100"/>
        </a:p>
      </xdr:txBody>
    </xdr:sp>
    <xdr:clientData/>
  </xdr:oneCellAnchor>
  <xdr:twoCellAnchor>
    <xdr:from>
      <xdr:col>1</xdr:col>
      <xdr:colOff>464820</xdr:colOff>
      <xdr:row>3</xdr:row>
      <xdr:rowOff>0</xdr:rowOff>
    </xdr:from>
    <xdr:to>
      <xdr:col>1</xdr:col>
      <xdr:colOff>464820</xdr:colOff>
      <xdr:row>21</xdr:row>
      <xdr:rowOff>68580</xdr:rowOff>
    </xdr:to>
    <xdr:cxnSp macro="">
      <xdr:nvCxnSpPr>
        <xdr:cNvPr id="32" name="Straight Arrow Connector 31">
          <a:extLst>
            <a:ext uri="{FF2B5EF4-FFF2-40B4-BE49-F238E27FC236}">
              <a16:creationId xmlns:a16="http://schemas.microsoft.com/office/drawing/2014/main" id="{5F6C8037-9DE7-4583-B997-EB1B6662B752}"/>
            </a:ext>
          </a:extLst>
        </xdr:cNvPr>
        <xdr:cNvCxnSpPr/>
      </xdr:nvCxnSpPr>
      <xdr:spPr>
        <a:xfrm>
          <a:off x="1074420" y="548640"/>
          <a:ext cx="0" cy="336042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556260</xdr:colOff>
      <xdr:row>20</xdr:row>
      <xdr:rowOff>175260</xdr:rowOff>
    </xdr:from>
    <xdr:to>
      <xdr:col>3</xdr:col>
      <xdr:colOff>83820</xdr:colOff>
      <xdr:row>20</xdr:row>
      <xdr:rowOff>182283</xdr:rowOff>
    </xdr:to>
    <xdr:cxnSp macro="">
      <xdr:nvCxnSpPr>
        <xdr:cNvPr id="34" name="Straight Arrow Connector 33">
          <a:extLst>
            <a:ext uri="{FF2B5EF4-FFF2-40B4-BE49-F238E27FC236}">
              <a16:creationId xmlns:a16="http://schemas.microsoft.com/office/drawing/2014/main" id="{A5CF2F37-43B9-42D0-AE0A-89299F85066F}"/>
            </a:ext>
          </a:extLst>
        </xdr:cNvPr>
        <xdr:cNvCxnSpPr/>
      </xdr:nvCxnSpPr>
      <xdr:spPr>
        <a:xfrm>
          <a:off x="1165860" y="3832860"/>
          <a:ext cx="746760" cy="7023"/>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19</xdr:col>
      <xdr:colOff>53340</xdr:colOff>
      <xdr:row>3</xdr:row>
      <xdr:rowOff>0</xdr:rowOff>
    </xdr:from>
    <xdr:to>
      <xdr:col>19</xdr:col>
      <xdr:colOff>53340</xdr:colOff>
      <xdr:row>21</xdr:row>
      <xdr:rowOff>68580</xdr:rowOff>
    </xdr:to>
    <xdr:cxnSp macro="">
      <xdr:nvCxnSpPr>
        <xdr:cNvPr id="36" name="Straight Arrow Connector 35">
          <a:extLst>
            <a:ext uri="{FF2B5EF4-FFF2-40B4-BE49-F238E27FC236}">
              <a16:creationId xmlns:a16="http://schemas.microsoft.com/office/drawing/2014/main" id="{DEBE4627-6A3D-39C7-327C-349D73B06588}"/>
            </a:ext>
          </a:extLst>
        </xdr:cNvPr>
        <xdr:cNvCxnSpPr/>
      </xdr:nvCxnSpPr>
      <xdr:spPr>
        <a:xfrm>
          <a:off x="11635740" y="548640"/>
          <a:ext cx="0" cy="336042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17</xdr:col>
      <xdr:colOff>449580</xdr:colOff>
      <xdr:row>20</xdr:row>
      <xdr:rowOff>175260</xdr:rowOff>
    </xdr:from>
    <xdr:to>
      <xdr:col>18</xdr:col>
      <xdr:colOff>586740</xdr:colOff>
      <xdr:row>20</xdr:row>
      <xdr:rowOff>182283</xdr:rowOff>
    </xdr:to>
    <xdr:cxnSp macro="">
      <xdr:nvCxnSpPr>
        <xdr:cNvPr id="37" name="Straight Arrow Connector 36">
          <a:extLst>
            <a:ext uri="{FF2B5EF4-FFF2-40B4-BE49-F238E27FC236}">
              <a16:creationId xmlns:a16="http://schemas.microsoft.com/office/drawing/2014/main" id="{3B9C4BEE-6C7E-E330-BE70-594F95755787}"/>
            </a:ext>
          </a:extLst>
        </xdr:cNvPr>
        <xdr:cNvCxnSpPr/>
      </xdr:nvCxnSpPr>
      <xdr:spPr>
        <a:xfrm>
          <a:off x="10812780" y="3832860"/>
          <a:ext cx="746760" cy="7023"/>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601980</xdr:colOff>
      <xdr:row>9</xdr:row>
      <xdr:rowOff>45720</xdr:rowOff>
    </xdr:from>
    <xdr:to>
      <xdr:col>7</xdr:col>
      <xdr:colOff>91440</xdr:colOff>
      <xdr:row>9</xdr:row>
      <xdr:rowOff>58117</xdr:rowOff>
    </xdr:to>
    <xdr:cxnSp macro="">
      <xdr:nvCxnSpPr>
        <xdr:cNvPr id="39" name="Straight Arrow Connector 38">
          <a:extLst>
            <a:ext uri="{FF2B5EF4-FFF2-40B4-BE49-F238E27FC236}">
              <a16:creationId xmlns:a16="http://schemas.microsoft.com/office/drawing/2014/main" id="{4ABA4458-FBA6-4FCF-A291-7012041B44E8}"/>
            </a:ext>
          </a:extLst>
        </xdr:cNvPr>
        <xdr:cNvCxnSpPr/>
      </xdr:nvCxnSpPr>
      <xdr:spPr>
        <a:xfrm>
          <a:off x="3040380" y="1691640"/>
          <a:ext cx="1318260" cy="12397"/>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5</xdr:col>
      <xdr:colOff>419100</xdr:colOff>
      <xdr:row>9</xdr:row>
      <xdr:rowOff>53340</xdr:rowOff>
    </xdr:from>
    <xdr:ext cx="578043" cy="264560"/>
    <xdr:sp macro="" textlink="">
      <xdr:nvSpPr>
        <xdr:cNvPr id="41" name="TextBox 40">
          <a:extLst>
            <a:ext uri="{FF2B5EF4-FFF2-40B4-BE49-F238E27FC236}">
              <a16:creationId xmlns:a16="http://schemas.microsoft.com/office/drawing/2014/main" id="{3FB76BBB-DD39-436E-81AE-BEBE008A41E4}"/>
            </a:ext>
          </a:extLst>
        </xdr:cNvPr>
        <xdr:cNvSpPr txBox="1"/>
      </xdr:nvSpPr>
      <xdr:spPr>
        <a:xfrm>
          <a:off x="3467100" y="1699260"/>
          <a:ext cx="57804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100"/>
            <a:t>2.5</a:t>
          </a:r>
          <a:r>
            <a:rPr lang="en-IN" sz="1100" baseline="0"/>
            <a:t> Mtr</a:t>
          </a:r>
          <a:endParaRPr lang="en-IN" sz="1100"/>
        </a:p>
      </xdr:txBody>
    </xdr:sp>
    <xdr:clientData/>
  </xdr:oneCellAnchor>
  <xdr:twoCellAnchor>
    <xdr:from>
      <xdr:col>15</xdr:col>
      <xdr:colOff>419100</xdr:colOff>
      <xdr:row>3</xdr:row>
      <xdr:rowOff>7620</xdr:rowOff>
    </xdr:from>
    <xdr:to>
      <xdr:col>17</xdr:col>
      <xdr:colOff>411480</xdr:colOff>
      <xdr:row>8</xdr:row>
      <xdr:rowOff>68580</xdr:rowOff>
    </xdr:to>
    <xdr:sp macro="" textlink="">
      <xdr:nvSpPr>
        <xdr:cNvPr id="42" name="Flowchart: Process 41">
          <a:extLst>
            <a:ext uri="{FF2B5EF4-FFF2-40B4-BE49-F238E27FC236}">
              <a16:creationId xmlns:a16="http://schemas.microsoft.com/office/drawing/2014/main" id="{8AD0AEA8-9A5B-B073-3C96-EC0A86DE72CA}"/>
            </a:ext>
          </a:extLst>
        </xdr:cNvPr>
        <xdr:cNvSpPr/>
      </xdr:nvSpPr>
      <xdr:spPr>
        <a:xfrm>
          <a:off x="9563100" y="556260"/>
          <a:ext cx="1211580" cy="975360"/>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IN" sz="1100"/>
            <a:t>Toilet for Handicap</a:t>
          </a:r>
        </a:p>
        <a:p>
          <a:pPr algn="ctr"/>
          <a:r>
            <a:rPr lang="en-IN" sz="1100"/>
            <a:t>Size 2 x 1.5</a:t>
          </a:r>
        </a:p>
      </xdr:txBody>
    </xdr:sp>
    <xdr:clientData/>
  </xdr:twoCellAnchor>
  <xdr:twoCellAnchor>
    <xdr:from>
      <xdr:col>11</xdr:col>
      <xdr:colOff>236220</xdr:colOff>
      <xdr:row>3</xdr:row>
      <xdr:rowOff>7620</xdr:rowOff>
    </xdr:from>
    <xdr:to>
      <xdr:col>12</xdr:col>
      <xdr:colOff>495300</xdr:colOff>
      <xdr:row>8</xdr:row>
      <xdr:rowOff>68580</xdr:rowOff>
    </xdr:to>
    <xdr:sp macro="" textlink="">
      <xdr:nvSpPr>
        <xdr:cNvPr id="47" name="Flowchart: Process 46">
          <a:extLst>
            <a:ext uri="{FF2B5EF4-FFF2-40B4-BE49-F238E27FC236}">
              <a16:creationId xmlns:a16="http://schemas.microsoft.com/office/drawing/2014/main" id="{069B5A7A-3D47-A8F6-C83E-CF176EB39547}"/>
            </a:ext>
          </a:extLst>
        </xdr:cNvPr>
        <xdr:cNvSpPr/>
      </xdr:nvSpPr>
      <xdr:spPr>
        <a:xfrm>
          <a:off x="6941820" y="556260"/>
          <a:ext cx="868680" cy="975360"/>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IN" sz="1100">
              <a:solidFill>
                <a:schemeClr val="dk1"/>
              </a:solidFill>
              <a:effectLst/>
              <a:latin typeface="+mn-lt"/>
              <a:ea typeface="+mn-ea"/>
              <a:cs typeface="+mn-cs"/>
            </a:rPr>
            <a:t>Toilet Size 1.25 x 1.5</a:t>
          </a:r>
          <a:endParaRPr lang="en-IN">
            <a:effectLst/>
          </a:endParaRPr>
        </a:p>
      </xdr:txBody>
    </xdr:sp>
    <xdr:clientData/>
  </xdr:twoCellAnchor>
  <xdr:twoCellAnchor>
    <xdr:from>
      <xdr:col>9</xdr:col>
      <xdr:colOff>601980</xdr:colOff>
      <xdr:row>3</xdr:row>
      <xdr:rowOff>7620</xdr:rowOff>
    </xdr:from>
    <xdr:to>
      <xdr:col>11</xdr:col>
      <xdr:colOff>251460</xdr:colOff>
      <xdr:row>8</xdr:row>
      <xdr:rowOff>68580</xdr:rowOff>
    </xdr:to>
    <xdr:sp macro="" textlink="">
      <xdr:nvSpPr>
        <xdr:cNvPr id="48" name="Flowchart: Process 47">
          <a:extLst>
            <a:ext uri="{FF2B5EF4-FFF2-40B4-BE49-F238E27FC236}">
              <a16:creationId xmlns:a16="http://schemas.microsoft.com/office/drawing/2014/main" id="{6099C8D9-D3D0-D1A3-51D9-697F7AAE470C}"/>
            </a:ext>
          </a:extLst>
        </xdr:cNvPr>
        <xdr:cNvSpPr/>
      </xdr:nvSpPr>
      <xdr:spPr>
        <a:xfrm>
          <a:off x="6088380" y="556260"/>
          <a:ext cx="868680" cy="975360"/>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IN" sz="1100">
              <a:solidFill>
                <a:schemeClr val="dk1"/>
              </a:solidFill>
              <a:effectLst/>
              <a:latin typeface="+mn-lt"/>
              <a:ea typeface="+mn-ea"/>
              <a:cs typeface="+mn-cs"/>
            </a:rPr>
            <a:t>Toilet Size 1.25 x 1.5</a:t>
          </a:r>
          <a:endParaRPr lang="en-IN">
            <a:effectLst/>
          </a:endParaRPr>
        </a:p>
      </xdr:txBody>
    </xdr:sp>
    <xdr:clientData/>
  </xdr:twoCellAnchor>
  <xdr:twoCellAnchor>
    <xdr:from>
      <xdr:col>14</xdr:col>
      <xdr:colOff>137160</xdr:colOff>
      <xdr:row>3</xdr:row>
      <xdr:rowOff>7620</xdr:rowOff>
    </xdr:from>
    <xdr:to>
      <xdr:col>15</xdr:col>
      <xdr:colOff>396240</xdr:colOff>
      <xdr:row>8</xdr:row>
      <xdr:rowOff>68580</xdr:rowOff>
    </xdr:to>
    <xdr:sp macro="" textlink="">
      <xdr:nvSpPr>
        <xdr:cNvPr id="51" name="Flowchart: Process 50">
          <a:extLst>
            <a:ext uri="{FF2B5EF4-FFF2-40B4-BE49-F238E27FC236}">
              <a16:creationId xmlns:a16="http://schemas.microsoft.com/office/drawing/2014/main" id="{3A2E2B30-DA43-0FEC-4AB7-DEDDB94091AE}"/>
            </a:ext>
          </a:extLst>
        </xdr:cNvPr>
        <xdr:cNvSpPr/>
      </xdr:nvSpPr>
      <xdr:spPr>
        <a:xfrm>
          <a:off x="8671560" y="556260"/>
          <a:ext cx="868680" cy="975360"/>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IN" sz="1100">
              <a:solidFill>
                <a:schemeClr val="dk1"/>
              </a:solidFill>
              <a:effectLst/>
              <a:latin typeface="+mn-lt"/>
              <a:ea typeface="+mn-ea"/>
              <a:cs typeface="+mn-cs"/>
            </a:rPr>
            <a:t>Toilet Size 1.25 x 1.5</a:t>
          </a:r>
          <a:endParaRPr lang="en-IN">
            <a:effectLst/>
          </a:endParaRPr>
        </a:p>
      </xdr:txBody>
    </xdr:sp>
    <xdr:clientData/>
  </xdr:twoCellAnchor>
  <xdr:twoCellAnchor>
    <xdr:from>
      <xdr:col>12</xdr:col>
      <xdr:colOff>480060</xdr:colOff>
      <xdr:row>3</xdr:row>
      <xdr:rowOff>7620</xdr:rowOff>
    </xdr:from>
    <xdr:to>
      <xdr:col>14</xdr:col>
      <xdr:colOff>129540</xdr:colOff>
      <xdr:row>8</xdr:row>
      <xdr:rowOff>68580</xdr:rowOff>
    </xdr:to>
    <xdr:sp macro="" textlink="">
      <xdr:nvSpPr>
        <xdr:cNvPr id="52" name="Flowchart: Process 51">
          <a:extLst>
            <a:ext uri="{FF2B5EF4-FFF2-40B4-BE49-F238E27FC236}">
              <a16:creationId xmlns:a16="http://schemas.microsoft.com/office/drawing/2014/main" id="{F305F6EF-99FF-01C0-143D-AA9E1926C0C9}"/>
            </a:ext>
          </a:extLst>
        </xdr:cNvPr>
        <xdr:cNvSpPr/>
      </xdr:nvSpPr>
      <xdr:spPr>
        <a:xfrm>
          <a:off x="7795260" y="556260"/>
          <a:ext cx="868680" cy="975360"/>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IN" sz="1100">
              <a:solidFill>
                <a:schemeClr val="dk1"/>
              </a:solidFill>
              <a:effectLst/>
              <a:latin typeface="+mn-lt"/>
              <a:ea typeface="+mn-ea"/>
              <a:cs typeface="+mn-cs"/>
            </a:rPr>
            <a:t>Toilet Size 1.25 x 1.5</a:t>
          </a:r>
          <a:endParaRPr lang="en-IN">
            <a:effectLst/>
          </a:endParaRPr>
        </a:p>
      </xdr:txBody>
    </xdr:sp>
    <xdr:clientData/>
  </xdr:twoCellAnchor>
  <xdr:twoCellAnchor>
    <xdr:from>
      <xdr:col>10</xdr:col>
      <xdr:colOff>205740</xdr:colOff>
      <xdr:row>16</xdr:row>
      <xdr:rowOff>0</xdr:rowOff>
    </xdr:from>
    <xdr:to>
      <xdr:col>12</xdr:col>
      <xdr:colOff>266700</xdr:colOff>
      <xdr:row>21</xdr:row>
      <xdr:rowOff>60960</xdr:rowOff>
    </xdr:to>
    <xdr:sp macro="" textlink="">
      <xdr:nvSpPr>
        <xdr:cNvPr id="54" name="Flowchart: Process 53">
          <a:extLst>
            <a:ext uri="{FF2B5EF4-FFF2-40B4-BE49-F238E27FC236}">
              <a16:creationId xmlns:a16="http://schemas.microsoft.com/office/drawing/2014/main" id="{D58F4976-5567-0EF7-3517-60E4CC6C1D08}"/>
            </a:ext>
          </a:extLst>
        </xdr:cNvPr>
        <xdr:cNvSpPr/>
      </xdr:nvSpPr>
      <xdr:spPr>
        <a:xfrm>
          <a:off x="6301740" y="2926080"/>
          <a:ext cx="1280160" cy="975360"/>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IN" sz="1100">
              <a:solidFill>
                <a:schemeClr val="dk1"/>
              </a:solidFill>
              <a:effectLst/>
              <a:latin typeface="+mn-lt"/>
              <a:ea typeface="+mn-ea"/>
              <a:cs typeface="+mn-cs"/>
            </a:rPr>
            <a:t>Toilet </a:t>
          </a:r>
        </a:p>
        <a:p>
          <a:pPr algn="ctr"/>
          <a:r>
            <a:rPr lang="en-IN" sz="1100">
              <a:solidFill>
                <a:schemeClr val="dk1"/>
              </a:solidFill>
              <a:effectLst/>
              <a:latin typeface="+mn-lt"/>
              <a:ea typeface="+mn-ea"/>
              <a:cs typeface="+mn-cs"/>
            </a:rPr>
            <a:t>Size 1.6 x 1.5</a:t>
          </a:r>
          <a:endParaRPr lang="en-IN">
            <a:effectLst/>
          </a:endParaRPr>
        </a:p>
      </xdr:txBody>
    </xdr:sp>
    <xdr:clientData/>
  </xdr:twoCellAnchor>
  <xdr:twoCellAnchor>
    <xdr:from>
      <xdr:col>13</xdr:col>
      <xdr:colOff>38100</xdr:colOff>
      <xdr:row>19</xdr:row>
      <xdr:rowOff>83820</xdr:rowOff>
    </xdr:from>
    <xdr:to>
      <xdr:col>15</xdr:col>
      <xdr:colOff>99060</xdr:colOff>
      <xdr:row>21</xdr:row>
      <xdr:rowOff>76200</xdr:rowOff>
    </xdr:to>
    <xdr:sp macro="" textlink="">
      <xdr:nvSpPr>
        <xdr:cNvPr id="55" name="Flowchart: Process 54">
          <a:extLst>
            <a:ext uri="{FF2B5EF4-FFF2-40B4-BE49-F238E27FC236}">
              <a16:creationId xmlns:a16="http://schemas.microsoft.com/office/drawing/2014/main" id="{85DF201F-AEEF-63F8-4F93-35BE58497A33}"/>
            </a:ext>
          </a:extLst>
        </xdr:cNvPr>
        <xdr:cNvSpPr/>
      </xdr:nvSpPr>
      <xdr:spPr>
        <a:xfrm>
          <a:off x="7962900" y="3558540"/>
          <a:ext cx="1280160" cy="358140"/>
        </a:xfrm>
        <a:prstGeom prst="flowChartProcess">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IN" sz="1100"/>
            <a:t>Wash Basin</a:t>
          </a:r>
        </a:p>
      </xdr:txBody>
    </xdr:sp>
    <xdr:clientData/>
  </xdr:twoCellAnchor>
  <xdr:twoCellAnchor>
    <xdr:from>
      <xdr:col>12</xdr:col>
      <xdr:colOff>259080</xdr:colOff>
      <xdr:row>18</xdr:row>
      <xdr:rowOff>106680</xdr:rowOff>
    </xdr:from>
    <xdr:to>
      <xdr:col>17</xdr:col>
      <xdr:colOff>434340</xdr:colOff>
      <xdr:row>18</xdr:row>
      <xdr:rowOff>136993</xdr:rowOff>
    </xdr:to>
    <xdr:cxnSp macro="">
      <xdr:nvCxnSpPr>
        <xdr:cNvPr id="56" name="Straight Arrow Connector 55">
          <a:extLst>
            <a:ext uri="{FF2B5EF4-FFF2-40B4-BE49-F238E27FC236}">
              <a16:creationId xmlns:a16="http://schemas.microsoft.com/office/drawing/2014/main" id="{8ABB8910-31F8-CD8C-595F-E4A00DEB06EB}"/>
            </a:ext>
          </a:extLst>
        </xdr:cNvPr>
        <xdr:cNvCxnSpPr/>
      </xdr:nvCxnSpPr>
      <xdr:spPr>
        <a:xfrm>
          <a:off x="7574280" y="3398520"/>
          <a:ext cx="3223260" cy="30313"/>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14</xdr:col>
      <xdr:colOff>358140</xdr:colOff>
      <xdr:row>17</xdr:row>
      <xdr:rowOff>60960</xdr:rowOff>
    </xdr:from>
    <xdr:ext cx="469809" cy="264560"/>
    <xdr:sp macro="" textlink="">
      <xdr:nvSpPr>
        <xdr:cNvPr id="57" name="TextBox 56">
          <a:extLst>
            <a:ext uri="{FF2B5EF4-FFF2-40B4-BE49-F238E27FC236}">
              <a16:creationId xmlns:a16="http://schemas.microsoft.com/office/drawing/2014/main" id="{FAEEA20A-5306-37F8-5BD4-E2C91E5B1E33}"/>
            </a:ext>
          </a:extLst>
        </xdr:cNvPr>
        <xdr:cNvSpPr txBox="1"/>
      </xdr:nvSpPr>
      <xdr:spPr>
        <a:xfrm>
          <a:off x="8892540" y="3169920"/>
          <a:ext cx="46980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100"/>
            <a:t>6</a:t>
          </a:r>
          <a:r>
            <a:rPr lang="en-IN" sz="1100" baseline="0"/>
            <a:t> Mtr</a:t>
          </a:r>
          <a:endParaRPr lang="en-IN" sz="1100"/>
        </a:p>
      </xdr:txBody>
    </xdr:sp>
    <xdr:clientData/>
  </xdr:oneCellAnchor>
  <xdr:twoCellAnchor>
    <xdr:from>
      <xdr:col>17</xdr:col>
      <xdr:colOff>297180</xdr:colOff>
      <xdr:row>8</xdr:row>
      <xdr:rowOff>68580</xdr:rowOff>
    </xdr:from>
    <xdr:to>
      <xdr:col>17</xdr:col>
      <xdr:colOff>297180</xdr:colOff>
      <xdr:row>21</xdr:row>
      <xdr:rowOff>106680</xdr:rowOff>
    </xdr:to>
    <xdr:cxnSp macro="">
      <xdr:nvCxnSpPr>
        <xdr:cNvPr id="58" name="Straight Arrow Connector 57">
          <a:extLst>
            <a:ext uri="{FF2B5EF4-FFF2-40B4-BE49-F238E27FC236}">
              <a16:creationId xmlns:a16="http://schemas.microsoft.com/office/drawing/2014/main" id="{FD646FC4-B5D0-8877-7368-1E5B3BB3168D}"/>
            </a:ext>
          </a:extLst>
        </xdr:cNvPr>
        <xdr:cNvCxnSpPr/>
      </xdr:nvCxnSpPr>
      <xdr:spPr>
        <a:xfrm>
          <a:off x="10660380" y="1531620"/>
          <a:ext cx="0" cy="241554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16</xdr:col>
      <xdr:colOff>434340</xdr:colOff>
      <xdr:row>14</xdr:row>
      <xdr:rowOff>15240</xdr:rowOff>
    </xdr:from>
    <xdr:ext cx="469809" cy="264560"/>
    <xdr:sp macro="" textlink="">
      <xdr:nvSpPr>
        <xdr:cNvPr id="59" name="TextBox 58">
          <a:extLst>
            <a:ext uri="{FF2B5EF4-FFF2-40B4-BE49-F238E27FC236}">
              <a16:creationId xmlns:a16="http://schemas.microsoft.com/office/drawing/2014/main" id="{14582EE4-22B4-E683-70D3-3A25A8903714}"/>
            </a:ext>
          </a:extLst>
        </xdr:cNvPr>
        <xdr:cNvSpPr txBox="1"/>
      </xdr:nvSpPr>
      <xdr:spPr>
        <a:xfrm>
          <a:off x="10187940" y="2575560"/>
          <a:ext cx="46980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100" baseline="0"/>
            <a:t>3 Mtr</a:t>
          </a:r>
          <a:endParaRPr lang="en-IN" sz="1100"/>
        </a:p>
      </xdr:txBody>
    </xdr:sp>
    <xdr:clientData/>
  </xdr:oneCellAnchor>
  <xdr:oneCellAnchor>
    <xdr:from>
      <xdr:col>2</xdr:col>
      <xdr:colOff>91440</xdr:colOff>
      <xdr:row>19</xdr:row>
      <xdr:rowOff>60960</xdr:rowOff>
    </xdr:from>
    <xdr:ext cx="578043" cy="264560"/>
    <xdr:sp macro="" textlink="">
      <xdr:nvSpPr>
        <xdr:cNvPr id="61" name="TextBox 60">
          <a:extLst>
            <a:ext uri="{FF2B5EF4-FFF2-40B4-BE49-F238E27FC236}">
              <a16:creationId xmlns:a16="http://schemas.microsoft.com/office/drawing/2014/main" id="{AAE9915A-346D-4425-889B-7EAC1D207F8C}"/>
            </a:ext>
          </a:extLst>
        </xdr:cNvPr>
        <xdr:cNvSpPr txBox="1"/>
      </xdr:nvSpPr>
      <xdr:spPr>
        <a:xfrm>
          <a:off x="1310640" y="3535680"/>
          <a:ext cx="57804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100" baseline="0"/>
            <a:t>1.5 Mtr</a:t>
          </a:r>
          <a:endParaRPr lang="en-IN" sz="1100"/>
        </a:p>
      </xdr:txBody>
    </xdr:sp>
    <xdr:clientData/>
  </xdr:oneCellAnchor>
  <xdr:oneCellAnchor>
    <xdr:from>
      <xdr:col>17</xdr:col>
      <xdr:colOff>579120</xdr:colOff>
      <xdr:row>19</xdr:row>
      <xdr:rowOff>60960</xdr:rowOff>
    </xdr:from>
    <xdr:ext cx="578043" cy="264560"/>
    <xdr:sp macro="" textlink="">
      <xdr:nvSpPr>
        <xdr:cNvPr id="62" name="TextBox 61">
          <a:extLst>
            <a:ext uri="{FF2B5EF4-FFF2-40B4-BE49-F238E27FC236}">
              <a16:creationId xmlns:a16="http://schemas.microsoft.com/office/drawing/2014/main" id="{AC16B4C4-C78B-C8C7-B727-DB7302A36295}"/>
            </a:ext>
          </a:extLst>
        </xdr:cNvPr>
        <xdr:cNvSpPr txBox="1"/>
      </xdr:nvSpPr>
      <xdr:spPr>
        <a:xfrm>
          <a:off x="10942320" y="3535680"/>
          <a:ext cx="57804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100" baseline="0"/>
            <a:t>1.5 Mtr</a:t>
          </a:r>
          <a:endParaRPr lang="en-IN" sz="1100"/>
        </a:p>
      </xdr:txBody>
    </xdr:sp>
    <xdr:clientData/>
  </xdr:oneCellAnchor>
  <xdr:twoCellAnchor editAs="oneCell">
    <xdr:from>
      <xdr:col>10</xdr:col>
      <xdr:colOff>281940</xdr:colOff>
      <xdr:row>21</xdr:row>
      <xdr:rowOff>76200</xdr:rowOff>
    </xdr:from>
    <xdr:to>
      <xdr:col>18</xdr:col>
      <xdr:colOff>563880</xdr:colOff>
      <xdr:row>35</xdr:row>
      <xdr:rowOff>0</xdr:rowOff>
    </xdr:to>
    <xdr:pic>
      <xdr:nvPicPr>
        <xdr:cNvPr id="64" name="Picture 63" descr="190+ Thousand Paving Block Royalty-Free Images, Stock Photos &amp; Pictures |  Shutterstock">
          <a:extLst>
            <a:ext uri="{FF2B5EF4-FFF2-40B4-BE49-F238E27FC236}">
              <a16:creationId xmlns:a16="http://schemas.microsoft.com/office/drawing/2014/main" id="{7818D0E2-7CBC-4655-9B6B-7C7FB0866A3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6857"/>
        <a:stretch/>
      </xdr:blipFill>
      <xdr:spPr bwMode="auto">
        <a:xfrm>
          <a:off x="6377940" y="3916680"/>
          <a:ext cx="5158740" cy="2484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556260</xdr:colOff>
      <xdr:row>21</xdr:row>
      <xdr:rowOff>76200</xdr:rowOff>
    </xdr:from>
    <xdr:to>
      <xdr:col>10</xdr:col>
      <xdr:colOff>373380</xdr:colOff>
      <xdr:row>35</xdr:row>
      <xdr:rowOff>0</xdr:rowOff>
    </xdr:to>
    <xdr:pic>
      <xdr:nvPicPr>
        <xdr:cNvPr id="63" name="Picture 62" descr="190+ Thousand Paving Block Royalty-Free Images, Stock Photos &amp; Pictures |  Shutterstock">
          <a:extLst>
            <a:ext uri="{FF2B5EF4-FFF2-40B4-BE49-F238E27FC236}">
              <a16:creationId xmlns:a16="http://schemas.microsoft.com/office/drawing/2014/main" id="{CB35AFA8-28FC-7316-B765-4CAF947517B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6857"/>
        <a:stretch/>
      </xdr:blipFill>
      <xdr:spPr bwMode="auto">
        <a:xfrm>
          <a:off x="1165860" y="3916680"/>
          <a:ext cx="5303520" cy="2484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259080</xdr:colOff>
      <xdr:row>16</xdr:row>
      <xdr:rowOff>0</xdr:rowOff>
    </xdr:from>
    <xdr:to>
      <xdr:col>9</xdr:col>
      <xdr:colOff>320040</xdr:colOff>
      <xdr:row>21</xdr:row>
      <xdr:rowOff>60960</xdr:rowOff>
    </xdr:to>
    <xdr:sp macro="" textlink="">
      <xdr:nvSpPr>
        <xdr:cNvPr id="66" name="Flowchart: Process 65">
          <a:extLst>
            <a:ext uri="{FF2B5EF4-FFF2-40B4-BE49-F238E27FC236}">
              <a16:creationId xmlns:a16="http://schemas.microsoft.com/office/drawing/2014/main" id="{EEB5137D-442C-990C-26D1-23A69206BDC9}"/>
            </a:ext>
          </a:extLst>
        </xdr:cNvPr>
        <xdr:cNvSpPr/>
      </xdr:nvSpPr>
      <xdr:spPr>
        <a:xfrm>
          <a:off x="4526280" y="2926080"/>
          <a:ext cx="1280160" cy="975360"/>
        </a:xfrm>
        <a:prstGeom prst="flowChart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IN" sz="1100">
              <a:solidFill>
                <a:schemeClr val="dk1"/>
              </a:solidFill>
              <a:effectLst/>
              <a:latin typeface="+mn-lt"/>
              <a:ea typeface="+mn-ea"/>
              <a:cs typeface="+mn-cs"/>
            </a:rPr>
            <a:t>Toilet </a:t>
          </a:r>
        </a:p>
        <a:p>
          <a:pPr algn="ctr"/>
          <a:r>
            <a:rPr lang="en-IN" sz="1100">
              <a:solidFill>
                <a:schemeClr val="dk1"/>
              </a:solidFill>
              <a:effectLst/>
              <a:latin typeface="+mn-lt"/>
              <a:ea typeface="+mn-ea"/>
              <a:cs typeface="+mn-cs"/>
            </a:rPr>
            <a:t>Size 1.6 x 1.5</a:t>
          </a:r>
          <a:endParaRPr lang="en-IN">
            <a:effectLst/>
          </a:endParaRPr>
        </a:p>
      </xdr:txBody>
    </xdr:sp>
    <xdr:clientData/>
  </xdr:twoCellAnchor>
  <xdr:twoCellAnchor>
    <xdr:from>
      <xdr:col>9</xdr:col>
      <xdr:colOff>327660</xdr:colOff>
      <xdr:row>16</xdr:row>
      <xdr:rowOff>0</xdr:rowOff>
    </xdr:from>
    <xdr:to>
      <xdr:col>10</xdr:col>
      <xdr:colOff>205740</xdr:colOff>
      <xdr:row>21</xdr:row>
      <xdr:rowOff>99060</xdr:rowOff>
    </xdr:to>
    <xdr:sp macro="" textlink="">
      <xdr:nvSpPr>
        <xdr:cNvPr id="67" name="Flowchart: Process 66">
          <a:extLst>
            <a:ext uri="{FF2B5EF4-FFF2-40B4-BE49-F238E27FC236}">
              <a16:creationId xmlns:a16="http://schemas.microsoft.com/office/drawing/2014/main" id="{9867FDF7-183F-29A5-E27B-25994C260C6B}"/>
            </a:ext>
          </a:extLst>
        </xdr:cNvPr>
        <xdr:cNvSpPr/>
      </xdr:nvSpPr>
      <xdr:spPr>
        <a:xfrm>
          <a:off x="5814060" y="2926080"/>
          <a:ext cx="487680" cy="1013460"/>
        </a:xfrm>
        <a:prstGeom prst="flowChartProcess">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IN" sz="1000"/>
            <a:t>Water ATM</a:t>
          </a:r>
        </a:p>
      </xdr:txBody>
    </xdr:sp>
    <xdr:clientData/>
  </xdr:twoCellAnchor>
  <xdr:oneCellAnchor>
    <xdr:from>
      <xdr:col>7</xdr:col>
      <xdr:colOff>449580</xdr:colOff>
      <xdr:row>23</xdr:row>
      <xdr:rowOff>167640</xdr:rowOff>
    </xdr:from>
    <xdr:ext cx="3177540" cy="1595117"/>
    <xdr:sp macro="" textlink="">
      <xdr:nvSpPr>
        <xdr:cNvPr id="68" name="TextBox 67">
          <a:extLst>
            <a:ext uri="{FF2B5EF4-FFF2-40B4-BE49-F238E27FC236}">
              <a16:creationId xmlns:a16="http://schemas.microsoft.com/office/drawing/2014/main" id="{6E6E1141-7982-B0EE-5AA5-BFCD50761C8A}"/>
            </a:ext>
          </a:extLst>
        </xdr:cNvPr>
        <xdr:cNvSpPr txBox="1"/>
      </xdr:nvSpPr>
      <xdr:spPr>
        <a:xfrm>
          <a:off x="4716780" y="4373880"/>
          <a:ext cx="3177540" cy="1595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IN" sz="9600" b="1">
              <a:latin typeface="Aptos Black" panose="020F0502020204030204" pitchFamily="34" charset="0"/>
            </a:rPr>
            <a:t>NHIT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30480</xdr:colOff>
      <xdr:row>6</xdr:row>
      <xdr:rowOff>0</xdr:rowOff>
    </xdr:from>
    <xdr:to>
      <xdr:col>2</xdr:col>
      <xdr:colOff>419100</xdr:colOff>
      <xdr:row>16</xdr:row>
      <xdr:rowOff>114300</xdr:rowOff>
    </xdr:to>
    <xdr:sp macro="" textlink="">
      <xdr:nvSpPr>
        <xdr:cNvPr id="2" name="Rectangle 1">
          <a:extLst>
            <a:ext uri="{FF2B5EF4-FFF2-40B4-BE49-F238E27FC236}">
              <a16:creationId xmlns:a16="http://schemas.microsoft.com/office/drawing/2014/main" id="{441674AC-752E-8A1F-B00F-951890043922}"/>
            </a:ext>
          </a:extLst>
        </xdr:cNvPr>
        <xdr:cNvSpPr/>
      </xdr:nvSpPr>
      <xdr:spPr>
        <a:xfrm>
          <a:off x="2468880" y="1097280"/>
          <a:ext cx="388620" cy="1943100"/>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vert="vert270" rtlCol="0" anchor="ctr"/>
        <a:lstStyle/>
        <a:p>
          <a:pPr algn="ctr"/>
          <a:r>
            <a:rPr lang="en-IN" sz="1100"/>
            <a:t>Drain Wall</a:t>
          </a:r>
        </a:p>
      </xdr:txBody>
    </xdr:sp>
    <xdr:clientData/>
  </xdr:twoCellAnchor>
  <xdr:twoCellAnchor>
    <xdr:from>
      <xdr:col>6</xdr:col>
      <xdr:colOff>121920</xdr:colOff>
      <xdr:row>6</xdr:row>
      <xdr:rowOff>7620</xdr:rowOff>
    </xdr:from>
    <xdr:to>
      <xdr:col>6</xdr:col>
      <xdr:colOff>510540</xdr:colOff>
      <xdr:row>16</xdr:row>
      <xdr:rowOff>106680</xdr:rowOff>
    </xdr:to>
    <xdr:sp macro="" textlink="">
      <xdr:nvSpPr>
        <xdr:cNvPr id="3" name="Rectangle 2">
          <a:extLst>
            <a:ext uri="{FF2B5EF4-FFF2-40B4-BE49-F238E27FC236}">
              <a16:creationId xmlns:a16="http://schemas.microsoft.com/office/drawing/2014/main" id="{F0B2E40E-766F-88F0-8348-C0B3CC312471}"/>
            </a:ext>
          </a:extLst>
        </xdr:cNvPr>
        <xdr:cNvSpPr/>
      </xdr:nvSpPr>
      <xdr:spPr>
        <a:xfrm>
          <a:off x="4998720" y="1104900"/>
          <a:ext cx="388620" cy="1927860"/>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vert="vert27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IN" sz="1100">
              <a:solidFill>
                <a:schemeClr val="dk1"/>
              </a:solidFill>
              <a:effectLst/>
              <a:latin typeface="+mn-lt"/>
              <a:ea typeface="+mn-ea"/>
              <a:cs typeface="+mn-cs"/>
            </a:rPr>
            <a:t>Drain Wall</a:t>
          </a:r>
          <a:endParaRPr lang="en-IN">
            <a:effectLst/>
          </a:endParaRPr>
        </a:p>
      </xdr:txBody>
    </xdr:sp>
    <xdr:clientData/>
  </xdr:twoCellAnchor>
  <xdr:twoCellAnchor>
    <xdr:from>
      <xdr:col>2</xdr:col>
      <xdr:colOff>30480</xdr:colOff>
      <xdr:row>16</xdr:row>
      <xdr:rowOff>106680</xdr:rowOff>
    </xdr:from>
    <xdr:to>
      <xdr:col>6</xdr:col>
      <xdr:colOff>510540</xdr:colOff>
      <xdr:row>18</xdr:row>
      <xdr:rowOff>129540</xdr:rowOff>
    </xdr:to>
    <xdr:sp macro="" textlink="">
      <xdr:nvSpPr>
        <xdr:cNvPr id="4" name="Rectangle 3">
          <a:extLst>
            <a:ext uri="{FF2B5EF4-FFF2-40B4-BE49-F238E27FC236}">
              <a16:creationId xmlns:a16="http://schemas.microsoft.com/office/drawing/2014/main" id="{A797F261-A372-4904-9E36-1F44942FD6A1}"/>
            </a:ext>
          </a:extLst>
        </xdr:cNvPr>
        <xdr:cNvSpPr/>
      </xdr:nvSpPr>
      <xdr:spPr>
        <a:xfrm rot="16200000">
          <a:off x="3733800" y="1767840"/>
          <a:ext cx="388620" cy="2918460"/>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endParaRPr lang="en-IN" sz="1100" b="1"/>
        </a:p>
      </xdr:txBody>
    </xdr:sp>
    <xdr:clientData/>
  </xdr:twoCellAnchor>
  <xdr:twoCellAnchor>
    <xdr:from>
      <xdr:col>2</xdr:col>
      <xdr:colOff>22860</xdr:colOff>
      <xdr:row>3</xdr:row>
      <xdr:rowOff>167640</xdr:rowOff>
    </xdr:from>
    <xdr:to>
      <xdr:col>6</xdr:col>
      <xdr:colOff>525780</xdr:colOff>
      <xdr:row>6</xdr:row>
      <xdr:rowOff>0</xdr:rowOff>
    </xdr:to>
    <xdr:sp macro="" textlink="">
      <xdr:nvSpPr>
        <xdr:cNvPr id="6" name="Rectangle 5">
          <a:extLst>
            <a:ext uri="{FF2B5EF4-FFF2-40B4-BE49-F238E27FC236}">
              <a16:creationId xmlns:a16="http://schemas.microsoft.com/office/drawing/2014/main" id="{3A2C986A-A498-C3C5-CC8E-2C9DF0666157}"/>
            </a:ext>
          </a:extLst>
        </xdr:cNvPr>
        <xdr:cNvSpPr/>
      </xdr:nvSpPr>
      <xdr:spPr>
        <a:xfrm>
          <a:off x="2461260" y="716280"/>
          <a:ext cx="2941320" cy="381000"/>
        </a:xfrm>
        <a:prstGeom prst="rect">
          <a:avLst/>
        </a:prstGeom>
        <a:solidFill>
          <a:schemeClr val="dk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IN" sz="1100" b="1">
              <a:solidFill>
                <a:sysClr val="windowText" lastClr="000000"/>
              </a:solidFill>
            </a:rPr>
            <a:t>Drain Cover Slab</a:t>
          </a:r>
        </a:p>
      </xdr:txBody>
    </xdr:sp>
    <xdr:clientData/>
  </xdr:twoCellAnchor>
  <xdr:twoCellAnchor>
    <xdr:from>
      <xdr:col>6</xdr:col>
      <xdr:colOff>510540</xdr:colOff>
      <xdr:row>17</xdr:row>
      <xdr:rowOff>83820</xdr:rowOff>
    </xdr:from>
    <xdr:to>
      <xdr:col>8</xdr:col>
      <xdr:colOff>121920</xdr:colOff>
      <xdr:row>17</xdr:row>
      <xdr:rowOff>118110</xdr:rowOff>
    </xdr:to>
    <xdr:cxnSp macro="">
      <xdr:nvCxnSpPr>
        <xdr:cNvPr id="8" name="Straight Arrow Connector 7">
          <a:extLst>
            <a:ext uri="{FF2B5EF4-FFF2-40B4-BE49-F238E27FC236}">
              <a16:creationId xmlns:a16="http://schemas.microsoft.com/office/drawing/2014/main" id="{CCB0DB80-D66E-0942-651E-EDA69FA421C2}"/>
            </a:ext>
          </a:extLst>
        </xdr:cNvPr>
        <xdr:cNvCxnSpPr>
          <a:cxnSpLocks/>
          <a:stCxn id="4" idx="2"/>
        </xdr:cNvCxnSpPr>
      </xdr:nvCxnSpPr>
      <xdr:spPr>
        <a:xfrm flipV="1">
          <a:off x="5387340" y="3192780"/>
          <a:ext cx="830580" cy="3429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30480</xdr:colOff>
      <xdr:row>19</xdr:row>
      <xdr:rowOff>125730</xdr:rowOff>
    </xdr:from>
    <xdr:to>
      <xdr:col>6</xdr:col>
      <xdr:colOff>510540</xdr:colOff>
      <xdr:row>19</xdr:row>
      <xdr:rowOff>125730</xdr:rowOff>
    </xdr:to>
    <xdr:cxnSp macro="">
      <xdr:nvCxnSpPr>
        <xdr:cNvPr id="11" name="Straight Arrow Connector 10">
          <a:extLst>
            <a:ext uri="{FF2B5EF4-FFF2-40B4-BE49-F238E27FC236}">
              <a16:creationId xmlns:a16="http://schemas.microsoft.com/office/drawing/2014/main" id="{2A456921-0BD6-4430-A438-6C4518D7A750}"/>
            </a:ext>
          </a:extLst>
        </xdr:cNvPr>
        <xdr:cNvCxnSpPr/>
      </xdr:nvCxnSpPr>
      <xdr:spPr>
        <a:xfrm>
          <a:off x="2468880" y="3600450"/>
          <a:ext cx="2918460" cy="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499110</xdr:colOff>
      <xdr:row>5</xdr:row>
      <xdr:rowOff>144780</xdr:rowOff>
    </xdr:from>
    <xdr:to>
      <xdr:col>1</xdr:col>
      <xdr:colOff>502920</xdr:colOff>
      <xdr:row>16</xdr:row>
      <xdr:rowOff>114300</xdr:rowOff>
    </xdr:to>
    <xdr:cxnSp macro="">
      <xdr:nvCxnSpPr>
        <xdr:cNvPr id="13" name="Straight Arrow Connector 12">
          <a:extLst>
            <a:ext uri="{FF2B5EF4-FFF2-40B4-BE49-F238E27FC236}">
              <a16:creationId xmlns:a16="http://schemas.microsoft.com/office/drawing/2014/main" id="{83E31BA4-AB18-4FD9-97D6-FF53786AB512}"/>
            </a:ext>
          </a:extLst>
        </xdr:cNvPr>
        <xdr:cNvCxnSpPr/>
      </xdr:nvCxnSpPr>
      <xdr:spPr>
        <a:xfrm flipH="1">
          <a:off x="2327910" y="1059180"/>
          <a:ext cx="3810" cy="198120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499110</xdr:colOff>
      <xdr:row>16</xdr:row>
      <xdr:rowOff>114300</xdr:rowOff>
    </xdr:from>
    <xdr:to>
      <xdr:col>1</xdr:col>
      <xdr:colOff>499110</xdr:colOff>
      <xdr:row>18</xdr:row>
      <xdr:rowOff>121920</xdr:rowOff>
    </xdr:to>
    <xdr:cxnSp macro="">
      <xdr:nvCxnSpPr>
        <xdr:cNvPr id="16" name="Straight Arrow Connector 15">
          <a:extLst>
            <a:ext uri="{FF2B5EF4-FFF2-40B4-BE49-F238E27FC236}">
              <a16:creationId xmlns:a16="http://schemas.microsoft.com/office/drawing/2014/main" id="{61B3AEBC-2105-6850-E1D2-DD6643E43388}"/>
            </a:ext>
          </a:extLst>
        </xdr:cNvPr>
        <xdr:cNvCxnSpPr/>
      </xdr:nvCxnSpPr>
      <xdr:spPr>
        <a:xfrm>
          <a:off x="2327910" y="3040380"/>
          <a:ext cx="0" cy="37338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499110</xdr:colOff>
      <xdr:row>3</xdr:row>
      <xdr:rowOff>152400</xdr:rowOff>
    </xdr:from>
    <xdr:to>
      <xdr:col>1</xdr:col>
      <xdr:colOff>499110</xdr:colOff>
      <xdr:row>5</xdr:row>
      <xdr:rowOff>160020</xdr:rowOff>
    </xdr:to>
    <xdr:cxnSp macro="">
      <xdr:nvCxnSpPr>
        <xdr:cNvPr id="18" name="Straight Arrow Connector 17">
          <a:extLst>
            <a:ext uri="{FF2B5EF4-FFF2-40B4-BE49-F238E27FC236}">
              <a16:creationId xmlns:a16="http://schemas.microsoft.com/office/drawing/2014/main" id="{3AA92633-08C7-1B1E-1465-52A17B1463F6}"/>
            </a:ext>
          </a:extLst>
        </xdr:cNvPr>
        <xdr:cNvCxnSpPr/>
      </xdr:nvCxnSpPr>
      <xdr:spPr>
        <a:xfrm>
          <a:off x="2327910" y="701040"/>
          <a:ext cx="0" cy="37338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502920</xdr:colOff>
      <xdr:row>11</xdr:row>
      <xdr:rowOff>53340</xdr:rowOff>
    </xdr:from>
    <xdr:to>
      <xdr:col>7</xdr:col>
      <xdr:colOff>586740</xdr:colOff>
      <xdr:row>11</xdr:row>
      <xdr:rowOff>87630</xdr:rowOff>
    </xdr:to>
    <xdr:cxnSp macro="">
      <xdr:nvCxnSpPr>
        <xdr:cNvPr id="21" name="Straight Arrow Connector 20">
          <a:extLst>
            <a:ext uri="{FF2B5EF4-FFF2-40B4-BE49-F238E27FC236}">
              <a16:creationId xmlns:a16="http://schemas.microsoft.com/office/drawing/2014/main" id="{E8A93596-2637-4AD9-9F05-D906C9BCEB00}"/>
            </a:ext>
          </a:extLst>
        </xdr:cNvPr>
        <xdr:cNvCxnSpPr>
          <a:cxnSpLocks/>
        </xdr:cNvCxnSpPr>
      </xdr:nvCxnSpPr>
      <xdr:spPr>
        <a:xfrm flipV="1">
          <a:off x="5379720" y="2065020"/>
          <a:ext cx="693420" cy="3429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419100</xdr:colOff>
      <xdr:row>15</xdr:row>
      <xdr:rowOff>137160</xdr:rowOff>
    </xdr:from>
    <xdr:to>
      <xdr:col>6</xdr:col>
      <xdr:colOff>129540</xdr:colOff>
      <xdr:row>15</xdr:row>
      <xdr:rowOff>148590</xdr:rowOff>
    </xdr:to>
    <xdr:cxnSp macro="">
      <xdr:nvCxnSpPr>
        <xdr:cNvPr id="23" name="Straight Arrow Connector 22">
          <a:extLst>
            <a:ext uri="{FF2B5EF4-FFF2-40B4-BE49-F238E27FC236}">
              <a16:creationId xmlns:a16="http://schemas.microsoft.com/office/drawing/2014/main" id="{DD65F65E-8C9E-4159-8A83-B0A7C9ECAA6D}"/>
            </a:ext>
          </a:extLst>
        </xdr:cNvPr>
        <xdr:cNvCxnSpPr/>
      </xdr:nvCxnSpPr>
      <xdr:spPr>
        <a:xfrm flipV="1">
          <a:off x="2857500" y="2880360"/>
          <a:ext cx="2148840" cy="1143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492125</xdr:colOff>
      <xdr:row>3</xdr:row>
      <xdr:rowOff>158750</xdr:rowOff>
    </xdr:from>
    <xdr:to>
      <xdr:col>3</xdr:col>
      <xdr:colOff>2130509</xdr:colOff>
      <xdr:row>3</xdr:row>
      <xdr:rowOff>406413</xdr:rowOff>
    </xdr:to>
    <xdr:pic>
      <xdr:nvPicPr>
        <xdr:cNvPr id="2" name="Picture 1">
          <a:extLst>
            <a:ext uri="{FF2B5EF4-FFF2-40B4-BE49-F238E27FC236}">
              <a16:creationId xmlns:a16="http://schemas.microsoft.com/office/drawing/2014/main" id="{CC41AFFA-9753-46C6-8C2F-07259EC5702F}"/>
            </a:ext>
          </a:extLst>
        </xdr:cNvPr>
        <xdr:cNvPicPr>
          <a:picLocks noChangeAspect="1"/>
        </xdr:cNvPicPr>
      </xdr:nvPicPr>
      <xdr:blipFill>
        <a:blip xmlns:r="http://schemas.openxmlformats.org/officeDocument/2006/relationships" r:embed="rId1"/>
        <a:stretch>
          <a:fillRect/>
        </a:stretch>
      </xdr:blipFill>
      <xdr:spPr>
        <a:xfrm>
          <a:off x="3806825" y="1156970"/>
          <a:ext cx="1638384" cy="247663"/>
        </a:xfrm>
        <a:prstGeom prst="rect">
          <a:avLst/>
        </a:prstGeom>
      </xdr:spPr>
    </xdr:pic>
    <xdr:clientData/>
  </xdr:twoCellAnchor>
  <xdr:twoCellAnchor editAs="oneCell">
    <xdr:from>
      <xdr:col>3</xdr:col>
      <xdr:colOff>515938</xdr:colOff>
      <xdr:row>4</xdr:row>
      <xdr:rowOff>190500</xdr:rowOff>
    </xdr:from>
    <xdr:to>
      <xdr:col>3</xdr:col>
      <xdr:colOff>2154322</xdr:colOff>
      <xdr:row>4</xdr:row>
      <xdr:rowOff>438163</xdr:rowOff>
    </xdr:to>
    <xdr:pic>
      <xdr:nvPicPr>
        <xdr:cNvPr id="3" name="Picture 2">
          <a:extLst>
            <a:ext uri="{FF2B5EF4-FFF2-40B4-BE49-F238E27FC236}">
              <a16:creationId xmlns:a16="http://schemas.microsoft.com/office/drawing/2014/main" id="{43405628-1F91-4651-9CD3-702A39335816}"/>
            </a:ext>
          </a:extLst>
        </xdr:cNvPr>
        <xdr:cNvPicPr>
          <a:picLocks noChangeAspect="1"/>
        </xdr:cNvPicPr>
      </xdr:nvPicPr>
      <xdr:blipFill>
        <a:blip xmlns:r="http://schemas.openxmlformats.org/officeDocument/2006/relationships" r:embed="rId1"/>
        <a:stretch>
          <a:fillRect/>
        </a:stretch>
      </xdr:blipFill>
      <xdr:spPr>
        <a:xfrm>
          <a:off x="3830638" y="1706880"/>
          <a:ext cx="1638384" cy="247663"/>
        </a:xfrm>
        <a:prstGeom prst="rect">
          <a:avLst/>
        </a:prstGeom>
      </xdr:spPr>
    </xdr:pic>
    <xdr:clientData/>
  </xdr:twoCellAnchor>
  <xdr:twoCellAnchor editAs="oneCell">
    <xdr:from>
      <xdr:col>3</xdr:col>
      <xdr:colOff>936625</xdr:colOff>
      <xdr:row>5</xdr:row>
      <xdr:rowOff>95250</xdr:rowOff>
    </xdr:from>
    <xdr:to>
      <xdr:col>3</xdr:col>
      <xdr:colOff>1558957</xdr:colOff>
      <xdr:row>5</xdr:row>
      <xdr:rowOff>1371666</xdr:rowOff>
    </xdr:to>
    <xdr:pic>
      <xdr:nvPicPr>
        <xdr:cNvPr id="4" name="Picture 3">
          <a:extLst>
            <a:ext uri="{FF2B5EF4-FFF2-40B4-BE49-F238E27FC236}">
              <a16:creationId xmlns:a16="http://schemas.microsoft.com/office/drawing/2014/main" id="{7968D5CE-82D6-417A-A4A5-42F81D140B44}"/>
            </a:ext>
          </a:extLst>
        </xdr:cNvPr>
        <xdr:cNvPicPr>
          <a:picLocks noChangeAspect="1"/>
        </xdr:cNvPicPr>
      </xdr:nvPicPr>
      <xdr:blipFill>
        <a:blip xmlns:r="http://schemas.openxmlformats.org/officeDocument/2006/relationships" r:embed="rId2"/>
        <a:stretch>
          <a:fillRect/>
        </a:stretch>
      </xdr:blipFill>
      <xdr:spPr>
        <a:xfrm>
          <a:off x="4251325" y="2129790"/>
          <a:ext cx="622332" cy="1276416"/>
        </a:xfrm>
        <a:prstGeom prst="rect">
          <a:avLst/>
        </a:prstGeom>
      </xdr:spPr>
    </xdr:pic>
    <xdr:clientData/>
  </xdr:twoCellAnchor>
  <xdr:twoCellAnchor editAs="oneCell">
    <xdr:from>
      <xdr:col>3</xdr:col>
      <xdr:colOff>809625</xdr:colOff>
      <xdr:row>6</xdr:row>
      <xdr:rowOff>95250</xdr:rowOff>
    </xdr:from>
    <xdr:to>
      <xdr:col>3</xdr:col>
      <xdr:colOff>1609766</xdr:colOff>
      <xdr:row>6</xdr:row>
      <xdr:rowOff>1003347</xdr:rowOff>
    </xdr:to>
    <xdr:pic>
      <xdr:nvPicPr>
        <xdr:cNvPr id="5" name="Picture 4">
          <a:extLst>
            <a:ext uri="{FF2B5EF4-FFF2-40B4-BE49-F238E27FC236}">
              <a16:creationId xmlns:a16="http://schemas.microsoft.com/office/drawing/2014/main" id="{609BB85E-4287-40D9-B31B-BCBF57F365E8}"/>
            </a:ext>
          </a:extLst>
        </xdr:cNvPr>
        <xdr:cNvPicPr>
          <a:picLocks noChangeAspect="1"/>
        </xdr:cNvPicPr>
      </xdr:nvPicPr>
      <xdr:blipFill>
        <a:blip xmlns:r="http://schemas.openxmlformats.org/officeDocument/2006/relationships" r:embed="rId3"/>
        <a:stretch>
          <a:fillRect/>
        </a:stretch>
      </xdr:blipFill>
      <xdr:spPr>
        <a:xfrm>
          <a:off x="4124325" y="3585210"/>
          <a:ext cx="800141" cy="908097"/>
        </a:xfrm>
        <a:prstGeom prst="rect">
          <a:avLst/>
        </a:prstGeom>
      </xdr:spPr>
    </xdr:pic>
    <xdr:clientData/>
  </xdr:twoCellAnchor>
  <xdr:twoCellAnchor editAs="oneCell">
    <xdr:from>
      <xdr:col>3</xdr:col>
      <xdr:colOff>341313</xdr:colOff>
      <xdr:row>8</xdr:row>
      <xdr:rowOff>31750</xdr:rowOff>
    </xdr:from>
    <xdr:to>
      <xdr:col>3</xdr:col>
      <xdr:colOff>2100353</xdr:colOff>
      <xdr:row>8</xdr:row>
      <xdr:rowOff>412770</xdr:rowOff>
    </xdr:to>
    <xdr:pic>
      <xdr:nvPicPr>
        <xdr:cNvPr id="6" name="Picture 5">
          <a:extLst>
            <a:ext uri="{FF2B5EF4-FFF2-40B4-BE49-F238E27FC236}">
              <a16:creationId xmlns:a16="http://schemas.microsoft.com/office/drawing/2014/main" id="{9A4592F4-ECD5-40FD-9844-F5A50C20A1AD}"/>
            </a:ext>
          </a:extLst>
        </xdr:cNvPr>
        <xdr:cNvPicPr>
          <a:picLocks noChangeAspect="1"/>
        </xdr:cNvPicPr>
      </xdr:nvPicPr>
      <xdr:blipFill>
        <a:blip xmlns:r="http://schemas.openxmlformats.org/officeDocument/2006/relationships" r:embed="rId4"/>
        <a:stretch>
          <a:fillRect/>
        </a:stretch>
      </xdr:blipFill>
      <xdr:spPr>
        <a:xfrm>
          <a:off x="3656013" y="5152390"/>
          <a:ext cx="1759040" cy="381020"/>
        </a:xfrm>
        <a:prstGeom prst="rect">
          <a:avLst/>
        </a:prstGeom>
      </xdr:spPr>
    </xdr:pic>
    <xdr:clientData/>
  </xdr:twoCellAnchor>
  <xdr:twoCellAnchor editAs="oneCell">
    <xdr:from>
      <xdr:col>3</xdr:col>
      <xdr:colOff>420687</xdr:colOff>
      <xdr:row>7</xdr:row>
      <xdr:rowOff>57150</xdr:rowOff>
    </xdr:from>
    <xdr:to>
      <xdr:col>3</xdr:col>
      <xdr:colOff>2205129</xdr:colOff>
      <xdr:row>7</xdr:row>
      <xdr:rowOff>508023</xdr:rowOff>
    </xdr:to>
    <xdr:pic>
      <xdr:nvPicPr>
        <xdr:cNvPr id="7" name="Picture 6">
          <a:extLst>
            <a:ext uri="{FF2B5EF4-FFF2-40B4-BE49-F238E27FC236}">
              <a16:creationId xmlns:a16="http://schemas.microsoft.com/office/drawing/2014/main" id="{FF87CB72-0C13-4B3A-9E1C-2EF204508CBE}"/>
            </a:ext>
          </a:extLst>
        </xdr:cNvPr>
        <xdr:cNvPicPr>
          <a:picLocks noChangeAspect="1"/>
        </xdr:cNvPicPr>
      </xdr:nvPicPr>
      <xdr:blipFill>
        <a:blip xmlns:r="http://schemas.openxmlformats.org/officeDocument/2006/relationships" r:embed="rId5"/>
        <a:stretch>
          <a:fillRect/>
        </a:stretch>
      </xdr:blipFill>
      <xdr:spPr>
        <a:xfrm>
          <a:off x="3735387" y="4600575"/>
          <a:ext cx="1784442" cy="450873"/>
        </a:xfrm>
        <a:prstGeom prst="rect">
          <a:avLst/>
        </a:prstGeom>
      </xdr:spPr>
    </xdr:pic>
    <xdr:clientData/>
  </xdr:twoCellAnchor>
  <xdr:twoCellAnchor editAs="oneCell">
    <xdr:from>
      <xdr:col>3</xdr:col>
      <xdr:colOff>817562</xdr:colOff>
      <xdr:row>9</xdr:row>
      <xdr:rowOff>63500</xdr:rowOff>
    </xdr:from>
    <xdr:to>
      <xdr:col>3</xdr:col>
      <xdr:colOff>1649455</xdr:colOff>
      <xdr:row>9</xdr:row>
      <xdr:rowOff>958896</xdr:rowOff>
    </xdr:to>
    <xdr:pic>
      <xdr:nvPicPr>
        <xdr:cNvPr id="8" name="Picture 7">
          <a:extLst>
            <a:ext uri="{FF2B5EF4-FFF2-40B4-BE49-F238E27FC236}">
              <a16:creationId xmlns:a16="http://schemas.microsoft.com/office/drawing/2014/main" id="{C54C1B7F-03AF-4C81-AA7C-3AF5CFFE1345}"/>
            </a:ext>
          </a:extLst>
        </xdr:cNvPr>
        <xdr:cNvPicPr>
          <a:picLocks noChangeAspect="1"/>
        </xdr:cNvPicPr>
      </xdr:nvPicPr>
      <xdr:blipFill>
        <a:blip xmlns:r="http://schemas.openxmlformats.org/officeDocument/2006/relationships" r:embed="rId6"/>
        <a:stretch>
          <a:fillRect/>
        </a:stretch>
      </xdr:blipFill>
      <xdr:spPr>
        <a:xfrm>
          <a:off x="4132262" y="5748020"/>
          <a:ext cx="831893" cy="895396"/>
        </a:xfrm>
        <a:prstGeom prst="rect">
          <a:avLst/>
        </a:prstGeom>
      </xdr:spPr>
    </xdr:pic>
    <xdr:clientData/>
  </xdr:twoCellAnchor>
  <xdr:twoCellAnchor editAs="oneCell">
    <xdr:from>
      <xdr:col>3</xdr:col>
      <xdr:colOff>746125</xdr:colOff>
      <xdr:row>12</xdr:row>
      <xdr:rowOff>71437</xdr:rowOff>
    </xdr:from>
    <xdr:to>
      <xdr:col>3</xdr:col>
      <xdr:colOff>1597069</xdr:colOff>
      <xdr:row>12</xdr:row>
      <xdr:rowOff>922381</xdr:rowOff>
    </xdr:to>
    <xdr:pic>
      <xdr:nvPicPr>
        <xdr:cNvPr id="11" name="Picture 10">
          <a:extLst>
            <a:ext uri="{FF2B5EF4-FFF2-40B4-BE49-F238E27FC236}">
              <a16:creationId xmlns:a16="http://schemas.microsoft.com/office/drawing/2014/main" id="{F06E2208-DAD8-46C6-878B-E7F0236A669E}"/>
            </a:ext>
          </a:extLst>
        </xdr:cNvPr>
        <xdr:cNvPicPr>
          <a:picLocks noChangeAspect="1"/>
        </xdr:cNvPicPr>
      </xdr:nvPicPr>
      <xdr:blipFill>
        <a:blip xmlns:r="http://schemas.openxmlformats.org/officeDocument/2006/relationships" r:embed="rId7"/>
        <a:stretch>
          <a:fillRect/>
        </a:stretch>
      </xdr:blipFill>
      <xdr:spPr>
        <a:xfrm>
          <a:off x="4060825" y="8682037"/>
          <a:ext cx="850944" cy="850944"/>
        </a:xfrm>
        <a:prstGeom prst="rect">
          <a:avLst/>
        </a:prstGeom>
      </xdr:spPr>
    </xdr:pic>
    <xdr:clientData/>
  </xdr:twoCellAnchor>
  <xdr:twoCellAnchor>
    <xdr:from>
      <xdr:col>3</xdr:col>
      <xdr:colOff>1350065</xdr:colOff>
      <xdr:row>7</xdr:row>
      <xdr:rowOff>265043</xdr:rowOff>
    </xdr:from>
    <xdr:to>
      <xdr:col>3</xdr:col>
      <xdr:colOff>2029239</xdr:colOff>
      <xdr:row>7</xdr:row>
      <xdr:rowOff>451400</xdr:rowOff>
    </xdr:to>
    <xdr:sp macro="" textlink="">
      <xdr:nvSpPr>
        <xdr:cNvPr id="12" name="Rectangle 11">
          <a:extLst>
            <a:ext uri="{FF2B5EF4-FFF2-40B4-BE49-F238E27FC236}">
              <a16:creationId xmlns:a16="http://schemas.microsoft.com/office/drawing/2014/main" id="{DAD8EC5A-8641-95AD-15A0-ED7B25A8D578}"/>
            </a:ext>
          </a:extLst>
        </xdr:cNvPr>
        <xdr:cNvSpPr/>
      </xdr:nvSpPr>
      <xdr:spPr>
        <a:xfrm>
          <a:off x="4667250" y="4820478"/>
          <a:ext cx="679174" cy="186357"/>
        </a:xfrm>
        <a:prstGeom prst="rect">
          <a:avLst/>
        </a:prstGeom>
        <a:solidFill>
          <a:schemeClr val="bg1"/>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t>290000</a:t>
          </a:r>
        </a:p>
      </xdr:txBody>
    </xdr:sp>
    <xdr:clientData/>
  </xdr:twoCellAnchor>
  <xdr:twoCellAnchor>
    <xdr:from>
      <xdr:col>3</xdr:col>
      <xdr:colOff>1270621</xdr:colOff>
      <xdr:row>8</xdr:row>
      <xdr:rowOff>54445</xdr:rowOff>
    </xdr:from>
    <xdr:to>
      <xdr:col>3</xdr:col>
      <xdr:colOff>1949795</xdr:colOff>
      <xdr:row>8</xdr:row>
      <xdr:rowOff>240802</xdr:rowOff>
    </xdr:to>
    <xdr:sp macro="" textlink="">
      <xdr:nvSpPr>
        <xdr:cNvPr id="13" name="Rectangle 12">
          <a:extLst>
            <a:ext uri="{FF2B5EF4-FFF2-40B4-BE49-F238E27FC236}">
              <a16:creationId xmlns:a16="http://schemas.microsoft.com/office/drawing/2014/main" id="{777440D0-6F41-4671-8E30-A81046AB29EC}"/>
            </a:ext>
          </a:extLst>
        </xdr:cNvPr>
        <xdr:cNvSpPr/>
      </xdr:nvSpPr>
      <xdr:spPr>
        <a:xfrm>
          <a:off x="4587806" y="5173097"/>
          <a:ext cx="679174" cy="186357"/>
        </a:xfrm>
        <a:prstGeom prst="rect">
          <a:avLst/>
        </a:prstGeom>
        <a:solidFill>
          <a:schemeClr val="bg1"/>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t>290000</a:t>
          </a:r>
        </a:p>
      </xdr:txBody>
    </xdr:sp>
    <xdr:clientData/>
  </xdr:twoCellAnchor>
  <xdr:twoCellAnchor editAs="oneCell">
    <xdr:from>
      <xdr:col>3</xdr:col>
      <xdr:colOff>401053</xdr:colOff>
      <xdr:row>10</xdr:row>
      <xdr:rowOff>224589</xdr:rowOff>
    </xdr:from>
    <xdr:to>
      <xdr:col>3</xdr:col>
      <xdr:colOff>2185495</xdr:colOff>
      <xdr:row>10</xdr:row>
      <xdr:rowOff>675462</xdr:rowOff>
    </xdr:to>
    <xdr:pic>
      <xdr:nvPicPr>
        <xdr:cNvPr id="14" name="Picture 13">
          <a:extLst>
            <a:ext uri="{FF2B5EF4-FFF2-40B4-BE49-F238E27FC236}">
              <a16:creationId xmlns:a16="http://schemas.microsoft.com/office/drawing/2014/main" id="{08072925-7E1A-49EC-882E-FE9FCAC983FD}"/>
            </a:ext>
          </a:extLst>
        </xdr:cNvPr>
        <xdr:cNvPicPr>
          <a:picLocks noChangeAspect="1"/>
        </xdr:cNvPicPr>
      </xdr:nvPicPr>
      <xdr:blipFill>
        <a:blip xmlns:r="http://schemas.openxmlformats.org/officeDocument/2006/relationships" r:embed="rId5"/>
        <a:stretch>
          <a:fillRect/>
        </a:stretch>
      </xdr:blipFill>
      <xdr:spPr>
        <a:xfrm>
          <a:off x="3713748" y="6890084"/>
          <a:ext cx="1784442" cy="450873"/>
        </a:xfrm>
        <a:prstGeom prst="rect">
          <a:avLst/>
        </a:prstGeom>
      </xdr:spPr>
    </xdr:pic>
    <xdr:clientData/>
  </xdr:twoCellAnchor>
  <xdr:twoCellAnchor>
    <xdr:from>
      <xdr:col>3</xdr:col>
      <xdr:colOff>1330431</xdr:colOff>
      <xdr:row>10</xdr:row>
      <xdr:rowOff>432482</xdr:rowOff>
    </xdr:from>
    <xdr:to>
      <xdr:col>3</xdr:col>
      <xdr:colOff>2009605</xdr:colOff>
      <xdr:row>10</xdr:row>
      <xdr:rowOff>618839</xdr:rowOff>
    </xdr:to>
    <xdr:sp macro="" textlink="">
      <xdr:nvSpPr>
        <xdr:cNvPr id="15" name="Rectangle 14">
          <a:extLst>
            <a:ext uri="{FF2B5EF4-FFF2-40B4-BE49-F238E27FC236}">
              <a16:creationId xmlns:a16="http://schemas.microsoft.com/office/drawing/2014/main" id="{2C53A23B-98A1-41D7-BA14-0F4B4623D252}"/>
            </a:ext>
          </a:extLst>
        </xdr:cNvPr>
        <xdr:cNvSpPr/>
      </xdr:nvSpPr>
      <xdr:spPr>
        <a:xfrm>
          <a:off x="4643126" y="7097977"/>
          <a:ext cx="679174" cy="186357"/>
        </a:xfrm>
        <a:prstGeom prst="rect">
          <a:avLst/>
        </a:prstGeom>
        <a:solidFill>
          <a:schemeClr val="bg1"/>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t>290000</a:t>
          </a:r>
        </a:p>
      </xdr:txBody>
    </xdr:sp>
    <xdr:clientData/>
  </xdr:twoCellAnchor>
  <xdr:twoCellAnchor editAs="oneCell">
    <xdr:from>
      <xdr:col>3</xdr:col>
      <xdr:colOff>344905</xdr:colOff>
      <xdr:row>11</xdr:row>
      <xdr:rowOff>328864</xdr:rowOff>
    </xdr:from>
    <xdr:to>
      <xdr:col>3</xdr:col>
      <xdr:colOff>2103945</xdr:colOff>
      <xdr:row>11</xdr:row>
      <xdr:rowOff>709884</xdr:rowOff>
    </xdr:to>
    <xdr:pic>
      <xdr:nvPicPr>
        <xdr:cNvPr id="16" name="Picture 15">
          <a:extLst>
            <a:ext uri="{FF2B5EF4-FFF2-40B4-BE49-F238E27FC236}">
              <a16:creationId xmlns:a16="http://schemas.microsoft.com/office/drawing/2014/main" id="{840D9E62-C377-4E8B-A078-078D627B9495}"/>
            </a:ext>
          </a:extLst>
        </xdr:cNvPr>
        <xdr:cNvPicPr>
          <a:picLocks noChangeAspect="1"/>
        </xdr:cNvPicPr>
      </xdr:nvPicPr>
      <xdr:blipFill>
        <a:blip xmlns:r="http://schemas.openxmlformats.org/officeDocument/2006/relationships" r:embed="rId4"/>
        <a:stretch>
          <a:fillRect/>
        </a:stretch>
      </xdr:blipFill>
      <xdr:spPr>
        <a:xfrm>
          <a:off x="3657600" y="7972927"/>
          <a:ext cx="1759040" cy="381020"/>
        </a:xfrm>
        <a:prstGeom prst="rect">
          <a:avLst/>
        </a:prstGeom>
      </xdr:spPr>
    </xdr:pic>
    <xdr:clientData/>
  </xdr:twoCellAnchor>
  <xdr:twoCellAnchor>
    <xdr:from>
      <xdr:col>3</xdr:col>
      <xdr:colOff>1274213</xdr:colOff>
      <xdr:row>11</xdr:row>
      <xdr:rowOff>351559</xdr:rowOff>
    </xdr:from>
    <xdr:to>
      <xdr:col>3</xdr:col>
      <xdr:colOff>1953387</xdr:colOff>
      <xdr:row>11</xdr:row>
      <xdr:rowOff>537916</xdr:rowOff>
    </xdr:to>
    <xdr:sp macro="" textlink="">
      <xdr:nvSpPr>
        <xdr:cNvPr id="17" name="Rectangle 16">
          <a:extLst>
            <a:ext uri="{FF2B5EF4-FFF2-40B4-BE49-F238E27FC236}">
              <a16:creationId xmlns:a16="http://schemas.microsoft.com/office/drawing/2014/main" id="{E53EA481-6CDF-4C8F-89D2-1F9410CD2B57}"/>
            </a:ext>
          </a:extLst>
        </xdr:cNvPr>
        <xdr:cNvSpPr/>
      </xdr:nvSpPr>
      <xdr:spPr>
        <a:xfrm>
          <a:off x="4586908" y="7995622"/>
          <a:ext cx="679174" cy="186357"/>
        </a:xfrm>
        <a:prstGeom prst="rect">
          <a:avLst/>
        </a:prstGeom>
        <a:solidFill>
          <a:schemeClr val="bg1"/>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t>290000</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s\billing\SOR%20Narmada%202004-05\final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itesh\qs%20drive%20(i)\BACKUP\Muthu\ABP\BUDJET\Book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ata%20Folder/PRAVESH/PROJECTS/C-8/Processed%20Data/Macro%20Planning-C8-26-Nov.xls" TargetMode="External"/><Relationship Id="rId1" Type="http://schemas.openxmlformats.org/officeDocument/2006/relationships/externalLinkPath" Target="/Data%20Folder/PRAVESH/PROJECTS/C-8/Processed%20Data/Macro%20Planning-C8-26-Nov.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PRATAP/CPR/Shukla%20Data/Data%20Folder/PRAVESH/PROJECTS/C-8/Processed%20Data/Micro%20Planning%20C-8%20(level-2).xls" TargetMode="External"/><Relationship Id="rId1" Type="http://schemas.openxmlformats.org/officeDocument/2006/relationships/externalLinkPath" Target="/PRATAP/CPR/Shukla%20Data/Data%20Folder/PRAVESH/PROJECTS/C-8/Processed%20Data/Micro%20Planning%20C-8%20(level-2).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PRATAP/CPR/Shukla%20Data/Data%20Folder/PRAVESH/PROJECTS/C-8/Processed%20Data/Macro%20Planning-C8-26-Nov.xls" TargetMode="External"/><Relationship Id="rId1" Type="http://schemas.openxmlformats.org/officeDocument/2006/relationships/externalLinkPath" Target="/PRATAP/CPR/Shukla%20Data/Data%20Folder/PRAVESH/PROJECTS/C-8/Processed%20Data/Macro%20Planning-C8-26-No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Rate"/>
      <sheetName val="SOR"/>
      <sheetName val="EW"/>
      <sheetName val="STR1"/>
      <sheetName val="STR2"/>
      <sheetName val="STR3"/>
      <sheetName val="LIN1"/>
      <sheetName val="LIN2"/>
      <sheetName val="typical subminor"/>
      <sheetName val="Road"/>
      <sheetName val="S&amp;I"/>
      <sheetName val="machi"/>
      <sheetName val="TRANS1"/>
      <sheetName val="trans"/>
      <sheetName val="mes-fb"/>
      <sheetName val="mes-pl"/>
      <sheetName val="XL4Test5"/>
      <sheetName val="final3"/>
      <sheetName val="LOCAL RATES"/>
      <sheetName val="1St certified RA bill"/>
      <sheetName val="Elect."/>
      <sheetName val="Expenditure Plan"/>
      <sheetName val="Pull Down"/>
      <sheetName val="FORM-W3"/>
      <sheetName val="ANALYSIS"/>
      <sheetName val="C &amp; G RHS"/>
      <sheetName val="FitOutConfCentre"/>
      <sheetName val="ANAL"/>
      <sheetName val="Steel-Circular"/>
      <sheetName val="col-reinft1"/>
      <sheetName val="typetest"/>
      <sheetName val="Evaluate"/>
      <sheetName val="Intro"/>
      <sheetName val="BP-Other strs"/>
      <sheetName val="DETAILED  BOQ"/>
      <sheetName val="box-12"/>
      <sheetName val="Comparison Type-II (EPC)"/>
      <sheetName val="Not found as per ground reality"/>
      <sheetName val="CASHFLOWS"/>
      <sheetName val="jobhist"/>
      <sheetName val="A"/>
      <sheetName val="Sheet2"/>
      <sheetName val="BOQ"/>
      <sheetName val="PROCTOR"/>
      <sheetName val="PROG_DATA"/>
      <sheetName val="BOQ-"/>
      <sheetName val="Materials "/>
      <sheetName val="Labour"/>
      <sheetName val="COP Final"/>
      <sheetName val="SPT vs PHI"/>
      <sheetName val="typical_subminor"/>
      <sheetName val="LOCAL_RATES"/>
      <sheetName val="typical_subminor1"/>
      <sheetName val="LOCAL_RATES1"/>
      <sheetName val="MAchinery(R1)"/>
      <sheetName val="GWC"/>
      <sheetName val="NWC"/>
      <sheetName val="eb"/>
      <sheetName val="ult"/>
      <sheetName val="0"/>
      <sheetName val="CUM-Mar07"/>
      <sheetName val="CRM"/>
      <sheetName val="A3"/>
      <sheetName val="BUD 07-08"/>
      <sheetName val="HIDE"/>
      <sheetName val="XL"/>
      <sheetName val="fp"/>
      <sheetName val="Flight-1"/>
      <sheetName val="PRELIM5"/>
      <sheetName val="Rectangular Beam"/>
      <sheetName val="Boiler&amp;TG"/>
      <sheetName val="02.10.06"/>
      <sheetName val="UNP-NCW "/>
      <sheetName val="Analysis-NH-Roads"/>
      <sheetName val="MPR_PA_1"/>
      <sheetName val="#REF"/>
      <sheetName val="Target-"/>
      <sheetName val="typical_subminor2"/>
      <sheetName val="LOCAL_RATES2"/>
      <sheetName val="1St_certified_RA_bill"/>
      <sheetName val="Elect_"/>
      <sheetName val="Expenditure_Plan"/>
      <sheetName val="Pull_Down"/>
      <sheetName val="SPT_vs_PHI"/>
      <sheetName val="Materials_"/>
      <sheetName val="banilad"/>
      <sheetName val="Mactan"/>
      <sheetName val="Mandaue"/>
      <sheetName val="ETC Plant Cost"/>
      <sheetName val="dBase"/>
      <sheetName val="concrete"/>
      <sheetName val="SAP架設-2005.12.31"/>
      <sheetName val="Machinery"/>
      <sheetName val="Basicdata-f"/>
      <sheetName val="typical_subminor3"/>
      <sheetName val="LOCAL_RATES3"/>
      <sheetName val="1St_certified_RA_bill1"/>
      <sheetName val="Elect_1"/>
      <sheetName val="Expenditure_Plan1"/>
      <sheetName val="Pull_Down1"/>
      <sheetName val="SPT_vs_PHI1"/>
      <sheetName val="Materials_1"/>
      <sheetName val="C_&amp;_G_RHS"/>
      <sheetName val="02_10_06"/>
      <sheetName val="UNP-NCW_"/>
      <sheetName val="Anl"/>
      <sheetName val="BHANDUP"/>
      <sheetName val="PLAN_FEB97"/>
      <sheetName val="Detail In Door Stad"/>
      <sheetName val="중기사용료"/>
      <sheetName val="01"/>
      <sheetName val="02"/>
      <sheetName val="03"/>
      <sheetName val="04"/>
      <sheetName val="CASH-FLOW"/>
      <sheetName val="Lakshmi GF"/>
      <sheetName val="CITICORP"/>
      <sheetName val="HDFC"/>
      <sheetName val="KOTAK"/>
      <sheetName val="21.8.14"/>
      <sheetName val="Materials Cost(PCC)"/>
      <sheetName val="Basis"/>
      <sheetName val="basdat"/>
      <sheetName val="inter"/>
      <sheetName val="Material"/>
      <sheetName val="Plant &amp;  Machinery"/>
      <sheetName val="Diesel Analysis"/>
      <sheetName val="sheeet7"/>
      <sheetName val="BUD_07-08"/>
      <sheetName val="BUD_07-081"/>
      <sheetName val="typical_subminor4"/>
      <sheetName val="LOCAL_RATES4"/>
      <sheetName val="SPT_vs_PHI2"/>
      <sheetName val="Materials_2"/>
      <sheetName val="Pull_Down2"/>
      <sheetName val="1St_certified_RA_bill2"/>
      <sheetName val="Elect_2"/>
      <sheetName val="BUD_07-082"/>
      <sheetName val="Expenditure_Plan2"/>
      <sheetName val="Section_by_layers_old"/>
      <sheetName val="Basicrates"/>
      <sheetName val="Fee Rate Summary"/>
      <sheetName val="3. Staff Facilities"/>
      <sheetName val="12. Ins &amp; Bonds"/>
      <sheetName val="inWords"/>
      <sheetName val="Sheet3"/>
      <sheetName val="SCHEDULE-3B"/>
      <sheetName val="BP-Other_strs"/>
      <sheetName val="DETAILED__BOQ"/>
      <sheetName val="Not_found_as_per_ground_reality"/>
      <sheetName val="Comparison_Type-II_(EPC)"/>
      <sheetName val="Rectangular_Beam"/>
      <sheetName val="COP_Final"/>
      <sheetName val="SAP架設-2005_12_31"/>
      <sheetName val="Detail_In_Door_Stad"/>
      <sheetName val="11-hsd"/>
      <sheetName val="13-septic"/>
      <sheetName val="7-ug"/>
      <sheetName val="2-utility"/>
      <sheetName val="18-misc"/>
      <sheetName val="5-pipe"/>
      <sheetName val="EW SR"/>
      <sheetName val="TBAL9697 -group wise  sdpl"/>
      <sheetName val="MBHPL Sch-G (2)"/>
      <sheetName val="MBHPL Sch-G"/>
      <sheetName val="Dec-21 Targets "/>
      <sheetName val="TCS-10m interval-R6"/>
      <sheetName val="LA Chainages"/>
      <sheetName val="Proposed Locations"/>
      <sheetName val="Sec-1 Dec - HW"/>
      <sheetName val="Sec-1 Jan - HW"/>
      <sheetName val="Sec-1 12TH Feb - HW"/>
      <sheetName val="Proposed Locations (R0)"/>
      <sheetName val="Monthly Top Priority-Sec-1"/>
      <sheetName val="ST- BC"/>
      <sheetName val="ST- MNB"/>
      <sheetName val="ST- L-VUP"/>
      <sheetName val="EW - Quantity Report"/>
      <sheetName val="Dec - HW"/>
      <sheetName val="HWY-1"/>
      <sheetName val="HWY-2"/>
      <sheetName val="Highway Cutting"/>
      <sheetName val="GLEVEL RHS"/>
      <sheetName val="DATA SHEET"/>
      <sheetName val="girder"/>
      <sheetName val="Plant_&amp;__Machinery"/>
      <sheetName val="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sheetData sheetId="25"/>
      <sheetData sheetId="26" refreshError="1"/>
      <sheetData sheetId="27"/>
      <sheetData sheetId="28"/>
      <sheetData sheetId="29"/>
      <sheetData sheetId="30"/>
      <sheetData sheetId="31"/>
      <sheetData sheetId="32"/>
      <sheetData sheetId="33"/>
      <sheetData sheetId="34" refreshError="1"/>
      <sheetData sheetId="35" refreshError="1"/>
      <sheetData sheetId="36"/>
      <sheetData sheetId="37" refreshError="1"/>
      <sheetData sheetId="38" refreshError="1"/>
      <sheetData sheetId="39"/>
      <sheetData sheetId="40"/>
      <sheetData sheetId="41"/>
      <sheetData sheetId="42"/>
      <sheetData sheetId="43"/>
      <sheetData sheetId="44"/>
      <sheetData sheetId="45"/>
      <sheetData sheetId="46"/>
      <sheetData sheetId="47" refreshError="1"/>
      <sheetData sheetId="48"/>
      <sheetData sheetId="49" refreshError="1"/>
      <sheetData sheetId="50" refreshError="1"/>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sheetData sheetId="70" refreshError="1"/>
      <sheetData sheetId="71" refreshError="1"/>
      <sheetData sheetId="72" refreshError="1"/>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sheetData sheetId="94" refreshError="1"/>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sheetData sheetId="126" refreshError="1"/>
      <sheetData sheetId="127" refreshError="1"/>
      <sheetData sheetId="128" refreshError="1"/>
      <sheetData sheetId="129"/>
      <sheetData sheetId="130"/>
      <sheetData sheetId="131"/>
      <sheetData sheetId="132"/>
      <sheetData sheetId="133"/>
      <sheetData sheetId="134"/>
      <sheetData sheetId="135"/>
      <sheetData sheetId="136"/>
      <sheetData sheetId="137"/>
      <sheetData sheetId="138"/>
      <sheetData sheetId="139"/>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sheetData sheetId="150"/>
      <sheetData sheetId="151"/>
      <sheetData sheetId="152"/>
      <sheetData sheetId="153"/>
      <sheetData sheetId="154"/>
      <sheetData sheetId="155"/>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sheetData sheetId="18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1"/>
      <sheetName val="BHANDUP"/>
      <sheetName val="PLAN_FEB97"/>
      <sheetName val="#REF"/>
      <sheetName val="Sheet2"/>
      <sheetName val="Sheet3"/>
      <sheetName val="Sheet1"/>
      <sheetName val="Bridges"/>
      <sheetName val="Bridges (Abst)"/>
      <sheetName val="Overpass"/>
      <sheetName val="Slab Culvert"/>
      <sheetName val="Underpass"/>
      <sheetName val="Abs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rip Chart"/>
      <sheetName val="Qty"/>
      <sheetName val="Data sheet"/>
      <sheetName val="Plant &amp; Equip."/>
      <sheetName val="Bar Chart"/>
      <sheetName val="Monthly Quantities"/>
      <sheetName val="Job Mix Formulae"/>
      <sheetName val="Profitability "/>
      <sheetName val="PricedBOQ"/>
      <sheetName val="Camp"/>
      <sheetName val="Running Expenses"/>
      <sheetName val="Major Material"/>
      <sheetName val="Other Material"/>
      <sheetName val="Subcontracts"/>
      <sheetName val="Manpower"/>
      <sheetName val="Priced BoQ"/>
      <sheetName val="Project Data"/>
      <sheetName val="TC-Bar"/>
      <sheetName val="TC-Detail"/>
      <sheetName val="Material Rate"/>
      <sheetName val="Tippers Cal"/>
      <sheetName val="lead"/>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 sheet"/>
      <sheetName val="Bar Chart R0"/>
      <sheetName val="Bar Chart R1"/>
      <sheetName val="Bar Chart R2"/>
      <sheetName val="Plant &amp; Equip."/>
      <sheetName val="Cash Flow R0"/>
      <sheetName val="Cash Flow R1"/>
      <sheetName val="Summ Cash Flow R1"/>
      <sheetName val="Cash Flow R2"/>
      <sheetName val="Cash Flow R3"/>
      <sheetName val="Budget Summary R1"/>
      <sheetName val="Major Material"/>
      <sheetName val="Cash Flow R3-33%"/>
      <sheetName val="Camp layout (R2)"/>
      <sheetName val="PricedBOQ"/>
      <sheetName val="Elect-BlankBOQ"/>
      <sheetName val="Qty"/>
      <sheetName val="Other Material"/>
      <sheetName val="P&amp;E Maint."/>
      <sheetName val="Camp"/>
      <sheetName val="Running Expenses"/>
      <sheetName val="Manpower"/>
      <sheetName val="Subcontracts"/>
      <sheetName val="List of Lab Equip"/>
      <sheetName val="Org Chart-Names"/>
      <sheetName val="Camp layout"/>
      <sheetName val="Camp layout (R1)"/>
      <sheetName val="Org Chart-Blank"/>
      <sheetName val="Job Mix Formulae"/>
      <sheetName val="X-sections"/>
      <sheetName val="Detailed Strip Chart"/>
      <sheetName val="Strip-Structures"/>
      <sheetName val="NCL GH"/>
      <sheetName val="Lab Equip"/>
      <sheetName val="PricedBOQ-Ssangyong"/>
      <sheetName val="PricedBOQ-NCL"/>
      <sheetName val="Price Adjust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9">
          <cell r="D9" t="str">
            <v>Sub - Department</v>
          </cell>
        </row>
        <row r="12">
          <cell r="D12" t="str">
            <v>Works Manager</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rip Chart"/>
      <sheetName val="Qty"/>
      <sheetName val="Data sheet"/>
      <sheetName val="Plant &amp; Equip."/>
      <sheetName val="Bar Chart"/>
      <sheetName val="Monthly Quantities"/>
      <sheetName val="Job Mix Formulae"/>
      <sheetName val="Profitability "/>
      <sheetName val="PricedBOQ"/>
      <sheetName val="Camp"/>
      <sheetName val="Running Expenses"/>
      <sheetName val="Major Material"/>
      <sheetName val="Other Material"/>
      <sheetName val="Subcontracts"/>
      <sheetName val="Manpower"/>
      <sheetName val="Priced BoQ"/>
      <sheetName val="Project Data"/>
      <sheetName val="TC-Bar"/>
      <sheetName val="TC-Detail"/>
      <sheetName val="Material Rate"/>
      <sheetName val="Tippers Cal"/>
      <sheetName val="lead"/>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1467A-5117-458F-AED5-94734F784FE6}">
  <dimension ref="A1:I65"/>
  <sheetViews>
    <sheetView tabSelected="1" view="pageBreakPreview" zoomScaleNormal="85" zoomScaleSheetLayoutView="100" workbookViewId="0">
      <pane ySplit="5" topLeftCell="A8" activePane="bottomLeft" state="frozen"/>
      <selection pane="bottomLeft" activeCell="B9" sqref="B9"/>
    </sheetView>
  </sheetViews>
  <sheetFormatPr defaultColWidth="9.109375" defaultRowHeight="12.25" x14ac:dyDescent="0.3"/>
  <cols>
    <col min="1" max="1" width="5.21875" style="150" customWidth="1"/>
    <col min="2" max="2" width="64.77734375" style="134" customWidth="1"/>
    <col min="3" max="3" width="9.109375" style="134"/>
    <col min="4" max="4" width="9.21875" style="134" bestFit="1" customWidth="1"/>
    <col min="5" max="5" width="8.77734375" style="134" bestFit="1" customWidth="1"/>
    <col min="6" max="6" width="11.109375" style="134" bestFit="1" customWidth="1"/>
    <col min="7" max="7" width="13.5546875" style="134" customWidth="1"/>
    <col min="8" max="8" width="9.6640625" style="134" bestFit="1" customWidth="1"/>
    <col min="9" max="9" width="10.77734375" style="134" bestFit="1" customWidth="1"/>
    <col min="10" max="16384" width="9.109375" style="134"/>
  </cols>
  <sheetData>
    <row r="1" spans="1:7" ht="23.95" customHeight="1" x14ac:dyDescent="0.3"/>
    <row r="2" spans="1:7" ht="16.100000000000001" x14ac:dyDescent="0.3">
      <c r="A2" s="195" t="s">
        <v>188</v>
      </c>
      <c r="B2" s="195"/>
      <c r="C2" s="195"/>
      <c r="D2" s="195"/>
      <c r="E2" s="195"/>
      <c r="F2" s="195"/>
      <c r="G2" s="195"/>
    </row>
    <row r="3" spans="1:7" ht="32.15" customHeight="1" x14ac:dyDescent="0.3">
      <c r="A3" s="181" t="s">
        <v>93</v>
      </c>
      <c r="B3" s="181"/>
      <c r="C3" s="181"/>
      <c r="D3" s="181"/>
      <c r="E3" s="181"/>
      <c r="F3" s="181"/>
      <c r="G3" s="181"/>
    </row>
    <row r="4" spans="1:7" ht="23.5" customHeight="1" x14ac:dyDescent="0.3">
      <c r="A4" s="174" t="s">
        <v>170</v>
      </c>
      <c r="B4" s="174"/>
      <c r="C4" s="174"/>
      <c r="D4" s="174"/>
      <c r="E4" s="174"/>
      <c r="F4" s="174"/>
      <c r="G4" s="174"/>
    </row>
    <row r="5" spans="1:7" ht="24.45" x14ac:dyDescent="0.3">
      <c r="A5" s="170" t="s">
        <v>94</v>
      </c>
      <c r="B5" s="171" t="s">
        <v>95</v>
      </c>
      <c r="C5" s="171" t="s">
        <v>8</v>
      </c>
      <c r="D5" s="171" t="s">
        <v>96</v>
      </c>
      <c r="E5" s="171" t="s">
        <v>46</v>
      </c>
      <c r="F5" s="171" t="s">
        <v>47</v>
      </c>
      <c r="G5" s="171" t="s">
        <v>97</v>
      </c>
    </row>
    <row r="6" spans="1:7" s="140" customFormat="1" x14ac:dyDescent="0.3">
      <c r="A6" s="103" t="s">
        <v>101</v>
      </c>
      <c r="B6" s="104"/>
      <c r="C6" s="104"/>
      <c r="D6" s="104"/>
      <c r="E6" s="104"/>
      <c r="F6" s="151"/>
      <c r="G6" s="152"/>
    </row>
    <row r="7" spans="1:7" s="140" customFormat="1" ht="61.1" x14ac:dyDescent="0.3">
      <c r="A7" s="105">
        <v>1</v>
      </c>
      <c r="B7" s="153" t="s">
        <v>189</v>
      </c>
      <c r="C7" s="106" t="s">
        <v>23</v>
      </c>
      <c r="D7" s="107">
        <f>'Toll Plaza'!K11</f>
        <v>18</v>
      </c>
      <c r="E7" s="108"/>
      <c r="F7" s="109">
        <f>E7*D7</f>
        <v>0</v>
      </c>
      <c r="G7" s="110"/>
    </row>
    <row r="8" spans="1:7" s="140" customFormat="1" ht="85.5" x14ac:dyDescent="0.3">
      <c r="A8" s="105">
        <f>A7+1</f>
        <v>2</v>
      </c>
      <c r="B8" s="153" t="s">
        <v>190</v>
      </c>
      <c r="C8" s="106" t="s">
        <v>23</v>
      </c>
      <c r="D8" s="107">
        <f>'Toll Plaza'!K18</f>
        <v>22.05</v>
      </c>
      <c r="E8" s="108"/>
      <c r="F8" s="109">
        <f>E8*D8</f>
        <v>0</v>
      </c>
      <c r="G8" s="110"/>
    </row>
    <row r="9" spans="1:7" s="140" customFormat="1" ht="195.45" x14ac:dyDescent="0.3">
      <c r="A9" s="105">
        <f>A8+1</f>
        <v>3</v>
      </c>
      <c r="B9" s="154" t="s">
        <v>191</v>
      </c>
      <c r="C9" s="106" t="s">
        <v>42</v>
      </c>
      <c r="D9" s="107">
        <f>'Toll Plaza'!K25</f>
        <v>1.323</v>
      </c>
      <c r="E9" s="108"/>
      <c r="F9" s="109">
        <f>E9*D9</f>
        <v>0</v>
      </c>
      <c r="G9" s="110"/>
    </row>
    <row r="10" spans="1:7" s="140" customFormat="1" ht="158.80000000000001" x14ac:dyDescent="0.3">
      <c r="A10" s="105">
        <f>A9+1</f>
        <v>4</v>
      </c>
      <c r="B10" s="153" t="s">
        <v>192</v>
      </c>
      <c r="C10" s="106" t="s">
        <v>29</v>
      </c>
      <c r="D10" s="106">
        <f>'Toll Plaza'!K32</f>
        <v>41.527500000000003</v>
      </c>
      <c r="E10" s="108"/>
      <c r="F10" s="109">
        <f t="shared" ref="F10:F32" si="0">E10*D10</f>
        <v>0</v>
      </c>
      <c r="G10" s="110"/>
    </row>
    <row r="11" spans="1:7" s="140" customFormat="1" x14ac:dyDescent="0.3">
      <c r="A11" s="111" t="s">
        <v>102</v>
      </c>
      <c r="B11" s="155"/>
      <c r="C11" s="112"/>
      <c r="D11" s="112"/>
      <c r="E11" s="113"/>
      <c r="F11" s="114"/>
      <c r="G11" s="115"/>
    </row>
    <row r="12" spans="1:7" s="140" customFormat="1" ht="195.45" x14ac:dyDescent="0.3">
      <c r="A12" s="105">
        <f>A10+1</f>
        <v>5</v>
      </c>
      <c r="B12" s="156" t="s">
        <v>193</v>
      </c>
      <c r="C12" s="106" t="s">
        <v>27</v>
      </c>
      <c r="D12" s="106">
        <f>'Toll Plaza'!K41</f>
        <v>213.5</v>
      </c>
      <c r="E12" s="108"/>
      <c r="F12" s="109">
        <f t="shared" si="0"/>
        <v>0</v>
      </c>
      <c r="G12" s="116" t="s">
        <v>111</v>
      </c>
    </row>
    <row r="13" spans="1:7" s="140" customFormat="1" ht="36.65" x14ac:dyDescent="0.3">
      <c r="A13" s="117">
        <f>A12+1</f>
        <v>6</v>
      </c>
      <c r="B13" s="156" t="s">
        <v>194</v>
      </c>
      <c r="C13" s="118" t="s">
        <v>29</v>
      </c>
      <c r="D13" s="118">
        <f>'Toll Plaza'!K49</f>
        <v>486.5</v>
      </c>
      <c r="E13" s="119"/>
      <c r="F13" s="109">
        <f t="shared" si="0"/>
        <v>0</v>
      </c>
      <c r="G13" s="116"/>
    </row>
    <row r="14" spans="1:7" s="140" customFormat="1" ht="158.80000000000001" x14ac:dyDescent="0.3">
      <c r="A14" s="105">
        <f>A13+1</f>
        <v>7</v>
      </c>
      <c r="B14" s="156" t="s">
        <v>195</v>
      </c>
      <c r="C14" s="106" t="s">
        <v>29</v>
      </c>
      <c r="D14" s="106">
        <f>'Toll Plaza'!K57</f>
        <v>486.5</v>
      </c>
      <c r="E14" s="108"/>
      <c r="F14" s="109">
        <f t="shared" si="0"/>
        <v>0</v>
      </c>
      <c r="G14" s="110"/>
    </row>
    <row r="15" spans="1:7" s="140" customFormat="1" x14ac:dyDescent="0.3">
      <c r="A15" s="120" t="s">
        <v>103</v>
      </c>
      <c r="B15" s="157"/>
      <c r="C15" s="121"/>
      <c r="D15" s="121"/>
      <c r="E15" s="122"/>
      <c r="F15" s="114">
        <f t="shared" si="0"/>
        <v>0</v>
      </c>
      <c r="G15" s="123"/>
    </row>
    <row r="16" spans="1:7" s="140" customFormat="1" ht="61.1" x14ac:dyDescent="0.3">
      <c r="A16" s="124">
        <f>A14+1</f>
        <v>8</v>
      </c>
      <c r="B16" s="156" t="s">
        <v>196</v>
      </c>
      <c r="C16" s="125" t="s">
        <v>23</v>
      </c>
      <c r="D16" s="125">
        <f>'Toll Plaza'!K64</f>
        <v>34.125</v>
      </c>
      <c r="E16" s="126"/>
      <c r="F16" s="109">
        <f t="shared" si="0"/>
        <v>0</v>
      </c>
      <c r="G16" s="127"/>
    </row>
    <row r="17" spans="1:7" s="140" customFormat="1" ht="48.9" x14ac:dyDescent="0.3">
      <c r="A17" s="124">
        <f>A16+1</f>
        <v>9</v>
      </c>
      <c r="B17" s="139" t="s">
        <v>197</v>
      </c>
      <c r="C17" s="125" t="s">
        <v>29</v>
      </c>
      <c r="D17" s="125">
        <f>'Toll Plaza'!K72</f>
        <v>360.75</v>
      </c>
      <c r="E17" s="126"/>
      <c r="F17" s="109">
        <f t="shared" si="0"/>
        <v>0</v>
      </c>
      <c r="G17" s="127"/>
    </row>
    <row r="18" spans="1:7" s="140" customFormat="1" ht="61.1" x14ac:dyDescent="0.3">
      <c r="A18" s="124">
        <f>A17+1</f>
        <v>10</v>
      </c>
      <c r="B18" s="139" t="s">
        <v>198</v>
      </c>
      <c r="C18" s="125" t="s">
        <v>29</v>
      </c>
      <c r="D18" s="125">
        <f>'Toll Plaza'!K84</f>
        <v>413.77770000000004</v>
      </c>
      <c r="E18" s="126"/>
      <c r="F18" s="109">
        <f t="shared" si="0"/>
        <v>0</v>
      </c>
      <c r="G18" s="127"/>
    </row>
    <row r="19" spans="1:7" ht="97.75" x14ac:dyDescent="0.3">
      <c r="A19" s="128">
        <f t="shared" ref="A19:A25" si="1">A18+1</f>
        <v>11</v>
      </c>
      <c r="B19" s="129" t="s">
        <v>199</v>
      </c>
      <c r="C19" s="130" t="s">
        <v>22</v>
      </c>
      <c r="D19" s="130">
        <f>'Toll Plaza'!K92</f>
        <v>8</v>
      </c>
      <c r="E19" s="131"/>
      <c r="F19" s="132">
        <f t="shared" si="0"/>
        <v>0</v>
      </c>
      <c r="G19" s="133"/>
    </row>
    <row r="20" spans="1:7" s="140" customFormat="1" ht="61.1" x14ac:dyDescent="0.3">
      <c r="A20" s="124">
        <f>A19+1</f>
        <v>12</v>
      </c>
      <c r="B20" s="139" t="s">
        <v>200</v>
      </c>
      <c r="C20" s="125" t="str">
        <f>C21</f>
        <v>Sqm</v>
      </c>
      <c r="D20" s="125">
        <f>D21</f>
        <v>719.97</v>
      </c>
      <c r="E20" s="126"/>
      <c r="F20" s="109">
        <f t="shared" si="0"/>
        <v>0</v>
      </c>
      <c r="G20" s="127"/>
    </row>
    <row r="21" spans="1:7" s="140" customFormat="1" ht="158.80000000000001" x14ac:dyDescent="0.3">
      <c r="A21" s="124">
        <f>A20+1</f>
        <v>13</v>
      </c>
      <c r="B21" s="158" t="s">
        <v>201</v>
      </c>
      <c r="C21" s="125" t="s">
        <v>29</v>
      </c>
      <c r="D21" s="135">
        <f>'Toll Plaza'!K102</f>
        <v>719.97</v>
      </c>
      <c r="E21" s="126"/>
      <c r="F21" s="109">
        <f t="shared" si="0"/>
        <v>0</v>
      </c>
      <c r="G21" s="127"/>
    </row>
    <row r="22" spans="1:7" s="140" customFormat="1" x14ac:dyDescent="0.3">
      <c r="A22" s="136" t="s">
        <v>173</v>
      </c>
      <c r="B22" s="157"/>
      <c r="C22" s="121"/>
      <c r="D22" s="121"/>
      <c r="E22" s="122"/>
      <c r="F22" s="114">
        <f t="shared" si="0"/>
        <v>0</v>
      </c>
      <c r="G22" s="123"/>
    </row>
    <row r="23" spans="1:7" s="140" customFormat="1" ht="48.9" x14ac:dyDescent="0.3">
      <c r="A23" s="124">
        <f>A21+1</f>
        <v>14</v>
      </c>
      <c r="B23" s="153" t="s">
        <v>202</v>
      </c>
      <c r="C23" s="106" t="s">
        <v>23</v>
      </c>
      <c r="D23" s="125">
        <f>'Toll Plaza'!K105</f>
        <v>30.375</v>
      </c>
      <c r="E23" s="126"/>
      <c r="F23" s="109">
        <f t="shared" si="0"/>
        <v>0</v>
      </c>
      <c r="G23" s="127"/>
    </row>
    <row r="24" spans="1:7" s="140" customFormat="1" ht="171" x14ac:dyDescent="0.3">
      <c r="A24" s="124">
        <f t="shared" si="1"/>
        <v>15</v>
      </c>
      <c r="B24" s="153" t="s">
        <v>203</v>
      </c>
      <c r="C24" s="106" t="s">
        <v>23</v>
      </c>
      <c r="D24" s="125">
        <f>'Toll Plaza'!K108</f>
        <v>30.375</v>
      </c>
      <c r="E24" s="126"/>
      <c r="F24" s="109">
        <f t="shared" si="0"/>
        <v>0</v>
      </c>
      <c r="G24" s="127"/>
    </row>
    <row r="25" spans="1:7" s="140" customFormat="1" ht="158.80000000000001" x14ac:dyDescent="0.3">
      <c r="A25" s="124">
        <f t="shared" si="1"/>
        <v>16</v>
      </c>
      <c r="B25" s="153" t="s">
        <v>204</v>
      </c>
      <c r="C25" s="125" t="s">
        <v>42</v>
      </c>
      <c r="D25" s="137">
        <f>D24*0.0085</f>
        <v>0.25818750000000001</v>
      </c>
      <c r="E25" s="126"/>
      <c r="F25" s="109">
        <f t="shared" si="0"/>
        <v>0</v>
      </c>
      <c r="G25" s="127"/>
    </row>
    <row r="26" spans="1:7" s="140" customFormat="1" x14ac:dyDescent="0.3">
      <c r="A26" s="136" t="s">
        <v>104</v>
      </c>
      <c r="B26" s="157"/>
      <c r="C26" s="121"/>
      <c r="D26" s="121"/>
      <c r="E26" s="122"/>
      <c r="F26" s="114">
        <f t="shared" si="0"/>
        <v>0</v>
      </c>
      <c r="G26" s="123"/>
    </row>
    <row r="27" spans="1:7" s="140" customFormat="1" ht="48.9" x14ac:dyDescent="0.3">
      <c r="A27" s="124">
        <f>A25+1</f>
        <v>17</v>
      </c>
      <c r="B27" s="153" t="s">
        <v>205</v>
      </c>
      <c r="C27" s="125" t="s">
        <v>23</v>
      </c>
      <c r="D27" s="125">
        <f>'Toll Plaza'!K111</f>
        <v>210</v>
      </c>
      <c r="E27" s="126"/>
      <c r="F27" s="109">
        <f t="shared" ref="F27:F28" si="2">E27*D27</f>
        <v>0</v>
      </c>
      <c r="G27" s="127"/>
    </row>
    <row r="28" spans="1:7" s="140" customFormat="1" ht="109.95" x14ac:dyDescent="0.3">
      <c r="A28" s="124">
        <f>A27+1</f>
        <v>18</v>
      </c>
      <c r="B28" s="139" t="s">
        <v>206</v>
      </c>
      <c r="C28" s="125" t="s">
        <v>23</v>
      </c>
      <c r="D28" s="125">
        <f>'Toll Plaza'!K115</f>
        <v>105</v>
      </c>
      <c r="E28" s="126"/>
      <c r="F28" s="109">
        <f t="shared" si="2"/>
        <v>0</v>
      </c>
      <c r="G28" s="127"/>
    </row>
    <row r="29" spans="1:7" s="140" customFormat="1" ht="207.65" x14ac:dyDescent="0.3">
      <c r="A29" s="124">
        <f>A28+1</f>
        <v>19</v>
      </c>
      <c r="B29" s="159" t="s">
        <v>207</v>
      </c>
      <c r="C29" s="125" t="s">
        <v>23</v>
      </c>
      <c r="D29" s="125">
        <f>'Toll Plaza'!K119</f>
        <v>135</v>
      </c>
      <c r="E29" s="126"/>
      <c r="F29" s="109">
        <f t="shared" si="0"/>
        <v>0</v>
      </c>
      <c r="G29" s="127" t="s">
        <v>104</v>
      </c>
    </row>
    <row r="30" spans="1:7" s="140" customFormat="1" ht="195.45" x14ac:dyDescent="0.3">
      <c r="A30" s="124">
        <f>A29+1</f>
        <v>20</v>
      </c>
      <c r="B30" s="154" t="s">
        <v>191</v>
      </c>
      <c r="C30" s="125" t="s">
        <v>23</v>
      </c>
      <c r="D30" s="125">
        <f>D29*0.06</f>
        <v>8.1</v>
      </c>
      <c r="E30" s="126"/>
      <c r="F30" s="109">
        <f t="shared" si="0"/>
        <v>0</v>
      </c>
      <c r="G30" s="138" t="s">
        <v>184</v>
      </c>
    </row>
    <row r="31" spans="1:7" ht="109.95" x14ac:dyDescent="0.3">
      <c r="A31" s="128">
        <f>A30+1</f>
        <v>21</v>
      </c>
      <c r="B31" s="154" t="s">
        <v>208</v>
      </c>
      <c r="C31" s="130" t="s">
        <v>27</v>
      </c>
      <c r="D31" s="130">
        <v>180</v>
      </c>
      <c r="E31" s="131"/>
      <c r="F31" s="132">
        <f t="shared" si="0"/>
        <v>0</v>
      </c>
      <c r="G31" s="133"/>
    </row>
    <row r="32" spans="1:7" s="140" customFormat="1" ht="134.4" x14ac:dyDescent="0.3">
      <c r="A32" s="124">
        <f>A31+1</f>
        <v>22</v>
      </c>
      <c r="B32" s="139" t="s">
        <v>209</v>
      </c>
      <c r="C32" s="125" t="s">
        <v>29</v>
      </c>
      <c r="D32" s="125">
        <f>'Toll Plaza'!K123</f>
        <v>216</v>
      </c>
      <c r="E32" s="126"/>
      <c r="F32" s="109">
        <f t="shared" si="0"/>
        <v>0</v>
      </c>
      <c r="G32" s="127"/>
    </row>
    <row r="33" spans="1:9" ht="207.65" x14ac:dyDescent="0.3">
      <c r="A33" s="141">
        <f t="shared" ref="A33:A46" si="3">A32+1</f>
        <v>23</v>
      </c>
      <c r="B33" s="160" t="s">
        <v>210</v>
      </c>
      <c r="C33" s="142" t="s">
        <v>29</v>
      </c>
      <c r="D33" s="143">
        <f>'Toll Plaza'!K146</f>
        <v>37.380000000000017</v>
      </c>
      <c r="E33" s="144"/>
      <c r="F33" s="132">
        <f>E33*D33</f>
        <v>0</v>
      </c>
      <c r="G33" s="133"/>
      <c r="H33" s="161"/>
      <c r="I33" s="161"/>
    </row>
    <row r="34" spans="1:9" ht="171" x14ac:dyDescent="0.3">
      <c r="A34" s="141">
        <f t="shared" si="3"/>
        <v>24</v>
      </c>
      <c r="B34" s="160" t="s">
        <v>211</v>
      </c>
      <c r="C34" s="142" t="s">
        <v>29</v>
      </c>
      <c r="D34" s="143">
        <f>'Toll Plaza'!K148</f>
        <v>9.4500000000000011</v>
      </c>
      <c r="E34" s="144"/>
      <c r="F34" s="132">
        <f>E34*D34</f>
        <v>0</v>
      </c>
      <c r="G34" s="133"/>
      <c r="H34" s="161"/>
      <c r="I34" s="161"/>
    </row>
    <row r="35" spans="1:9" s="140" customFormat="1" ht="48.9" x14ac:dyDescent="0.3">
      <c r="A35" s="141">
        <f t="shared" si="3"/>
        <v>25</v>
      </c>
      <c r="B35" s="162" t="s">
        <v>212</v>
      </c>
      <c r="C35" s="145" t="s">
        <v>22</v>
      </c>
      <c r="D35" s="145">
        <f>'Annexure I'!E4</f>
        <v>4</v>
      </c>
      <c r="E35" s="145"/>
      <c r="F35" s="109">
        <f>D35*E35</f>
        <v>0</v>
      </c>
      <c r="G35" s="127"/>
    </row>
    <row r="36" spans="1:9" s="140" customFormat="1" ht="73.3" x14ac:dyDescent="0.3">
      <c r="A36" s="141">
        <f t="shared" si="3"/>
        <v>26</v>
      </c>
      <c r="B36" s="162" t="s">
        <v>213</v>
      </c>
      <c r="C36" s="145" t="s">
        <v>22</v>
      </c>
      <c r="D36" s="145">
        <f>'Annexure I'!E5</f>
        <v>4</v>
      </c>
      <c r="E36" s="145"/>
      <c r="F36" s="109">
        <f t="shared" ref="F36:F46" si="4">D36*E36</f>
        <v>0</v>
      </c>
      <c r="G36" s="127"/>
    </row>
    <row r="37" spans="1:9" s="140" customFormat="1" ht="61.1" x14ac:dyDescent="0.3">
      <c r="A37" s="141">
        <f t="shared" si="3"/>
        <v>27</v>
      </c>
      <c r="B37" s="162" t="s">
        <v>214</v>
      </c>
      <c r="C37" s="145" t="s">
        <v>22</v>
      </c>
      <c r="D37" s="145">
        <f>'Annexure I'!E6</f>
        <v>6</v>
      </c>
      <c r="E37" s="145"/>
      <c r="F37" s="109">
        <f t="shared" si="4"/>
        <v>0</v>
      </c>
      <c r="G37" s="127"/>
    </row>
    <row r="38" spans="1:9" s="140" customFormat="1" ht="36.65" x14ac:dyDescent="0.3">
      <c r="A38" s="141">
        <f t="shared" si="3"/>
        <v>28</v>
      </c>
      <c r="B38" s="162" t="s">
        <v>215</v>
      </c>
      <c r="C38" s="145" t="s">
        <v>22</v>
      </c>
      <c r="D38" s="145">
        <f>'Annexure I'!E7</f>
        <v>4</v>
      </c>
      <c r="E38" s="145"/>
      <c r="F38" s="109">
        <f t="shared" si="4"/>
        <v>0</v>
      </c>
      <c r="G38" s="127"/>
    </row>
    <row r="39" spans="1:9" s="140" customFormat="1" ht="61.1" x14ac:dyDescent="0.3">
      <c r="A39" s="141">
        <f t="shared" si="3"/>
        <v>29</v>
      </c>
      <c r="B39" s="162" t="s">
        <v>216</v>
      </c>
      <c r="C39" s="145" t="s">
        <v>22</v>
      </c>
      <c r="D39" s="145">
        <f>'Annexure I'!E8</f>
        <v>8</v>
      </c>
      <c r="E39" s="145"/>
      <c r="F39" s="109">
        <f t="shared" si="4"/>
        <v>0</v>
      </c>
      <c r="G39" s="127"/>
    </row>
    <row r="40" spans="1:9" s="140" customFormat="1" ht="61.1" x14ac:dyDescent="0.3">
      <c r="A40" s="141">
        <f t="shared" si="3"/>
        <v>30</v>
      </c>
      <c r="B40" s="162" t="s">
        <v>217</v>
      </c>
      <c r="C40" s="145" t="s">
        <v>22</v>
      </c>
      <c r="D40" s="145">
        <f>'Annexure I'!E9</f>
        <v>4</v>
      </c>
      <c r="E40" s="145"/>
      <c r="F40" s="109">
        <f t="shared" si="4"/>
        <v>0</v>
      </c>
      <c r="G40" s="127"/>
    </row>
    <row r="41" spans="1:9" s="140" customFormat="1" ht="61.1" x14ac:dyDescent="0.3">
      <c r="A41" s="141">
        <f t="shared" si="3"/>
        <v>31</v>
      </c>
      <c r="B41" s="162" t="s">
        <v>218</v>
      </c>
      <c r="C41" s="145" t="s">
        <v>22</v>
      </c>
      <c r="D41" s="145">
        <f>'Annexure I'!E10</f>
        <v>10</v>
      </c>
      <c r="E41" s="145"/>
      <c r="F41" s="109">
        <f t="shared" si="4"/>
        <v>0</v>
      </c>
      <c r="G41" s="127"/>
    </row>
    <row r="42" spans="1:9" s="140" customFormat="1" ht="61.1" x14ac:dyDescent="0.3">
      <c r="A42" s="141">
        <f t="shared" si="3"/>
        <v>32</v>
      </c>
      <c r="B42" s="162" t="s">
        <v>219</v>
      </c>
      <c r="C42" s="145" t="s">
        <v>22</v>
      </c>
      <c r="D42" s="145">
        <f>'Annexure I'!E11</f>
        <v>10</v>
      </c>
      <c r="E42" s="145"/>
      <c r="F42" s="109">
        <f t="shared" si="4"/>
        <v>0</v>
      </c>
      <c r="G42" s="127"/>
    </row>
    <row r="43" spans="1:9" s="140" customFormat="1" ht="48.9" x14ac:dyDescent="0.3">
      <c r="A43" s="141">
        <f t="shared" si="3"/>
        <v>33</v>
      </c>
      <c r="B43" s="162" t="s">
        <v>220</v>
      </c>
      <c r="C43" s="145" t="s">
        <v>22</v>
      </c>
      <c r="D43" s="145">
        <f>'Annexure I'!E12</f>
        <v>4</v>
      </c>
      <c r="E43" s="145"/>
      <c r="F43" s="109">
        <f t="shared" si="4"/>
        <v>0</v>
      </c>
      <c r="G43" s="127"/>
    </row>
    <row r="44" spans="1:9" s="140" customFormat="1" ht="61.1" x14ac:dyDescent="0.3">
      <c r="A44" s="141">
        <f t="shared" si="3"/>
        <v>34</v>
      </c>
      <c r="B44" s="162" t="s">
        <v>221</v>
      </c>
      <c r="C44" s="145" t="s">
        <v>22</v>
      </c>
      <c r="D44" s="145">
        <f>'Annexure I'!E13</f>
        <v>2</v>
      </c>
      <c r="E44" s="145"/>
      <c r="F44" s="109">
        <f t="shared" si="4"/>
        <v>0</v>
      </c>
      <c r="G44" s="127"/>
    </row>
    <row r="45" spans="1:9" s="140" customFormat="1" ht="73.3" x14ac:dyDescent="0.3">
      <c r="A45" s="141">
        <f t="shared" si="3"/>
        <v>35</v>
      </c>
      <c r="B45" s="162" t="s">
        <v>222</v>
      </c>
      <c r="C45" s="145" t="s">
        <v>22</v>
      </c>
      <c r="D45" s="145">
        <f>'Annexure I'!E14</f>
        <v>4</v>
      </c>
      <c r="E45" s="145"/>
      <c r="F45" s="109">
        <f t="shared" si="4"/>
        <v>0</v>
      </c>
      <c r="G45" s="127"/>
    </row>
    <row r="46" spans="1:9" s="140" customFormat="1" ht="73.3" x14ac:dyDescent="0.3">
      <c r="A46" s="141">
        <f t="shared" si="3"/>
        <v>36</v>
      </c>
      <c r="B46" s="162" t="s">
        <v>223</v>
      </c>
      <c r="C46" s="145" t="s">
        <v>22</v>
      </c>
      <c r="D46" s="145">
        <f>'Annexure I'!E15</f>
        <v>4</v>
      </c>
      <c r="E46" s="145"/>
      <c r="F46" s="109">
        <f t="shared" si="4"/>
        <v>0</v>
      </c>
      <c r="G46" s="127"/>
    </row>
    <row r="47" spans="1:9" s="140" customFormat="1" x14ac:dyDescent="0.3">
      <c r="A47" s="136" t="s">
        <v>168</v>
      </c>
      <c r="B47" s="157"/>
      <c r="C47" s="121"/>
      <c r="D47" s="121"/>
      <c r="E47" s="122"/>
      <c r="F47" s="114">
        <f t="shared" ref="F47:F54" si="5">E47*D47</f>
        <v>0</v>
      </c>
      <c r="G47" s="123"/>
    </row>
    <row r="48" spans="1:9" s="140" customFormat="1" ht="48.9" x14ac:dyDescent="0.3">
      <c r="A48" s="105">
        <f>A46+1</f>
        <v>37</v>
      </c>
      <c r="B48" s="153" t="s">
        <v>205</v>
      </c>
      <c r="C48" s="125" t="s">
        <v>23</v>
      </c>
      <c r="D48" s="125">
        <f>'Toll Plaza'!K156</f>
        <v>186.58399999999997</v>
      </c>
      <c r="E48" s="126"/>
      <c r="F48" s="132">
        <f t="shared" si="5"/>
        <v>0</v>
      </c>
      <c r="G48" s="110"/>
    </row>
    <row r="49" spans="1:7" s="140" customFormat="1" ht="207.65" x14ac:dyDescent="0.3">
      <c r="A49" s="105">
        <f>A48+1</f>
        <v>38</v>
      </c>
      <c r="B49" s="159" t="s">
        <v>224</v>
      </c>
      <c r="C49" s="106" t="s">
        <v>23</v>
      </c>
      <c r="D49" s="106">
        <f>'Toll Plaza'!K163</f>
        <v>18.421999999999997</v>
      </c>
      <c r="E49" s="108"/>
      <c r="F49" s="132">
        <f t="shared" si="5"/>
        <v>0</v>
      </c>
      <c r="G49" s="110"/>
    </row>
    <row r="50" spans="1:7" s="140" customFormat="1" ht="207.65" x14ac:dyDescent="0.3">
      <c r="A50" s="105">
        <f>A49+1</f>
        <v>39</v>
      </c>
      <c r="B50" s="153" t="s">
        <v>225</v>
      </c>
      <c r="C50" s="106" t="s">
        <v>23</v>
      </c>
      <c r="D50" s="106">
        <f>'Toll Plaza'!K171</f>
        <v>77.995699999999999</v>
      </c>
      <c r="E50" s="108"/>
      <c r="F50" s="132">
        <f t="shared" si="5"/>
        <v>0</v>
      </c>
      <c r="G50" s="110"/>
    </row>
    <row r="51" spans="1:7" s="140" customFormat="1" ht="256.5" x14ac:dyDescent="0.3">
      <c r="A51" s="105">
        <f t="shared" ref="A51:A55" si="6">A50+1</f>
        <v>40</v>
      </c>
      <c r="B51" s="153" t="s">
        <v>226</v>
      </c>
      <c r="C51" s="106" t="s">
        <v>23</v>
      </c>
      <c r="D51" s="106">
        <f>'Toll Plaza'!K177</f>
        <v>170.39876600000002</v>
      </c>
      <c r="E51" s="108"/>
      <c r="F51" s="132">
        <f t="shared" si="5"/>
        <v>0</v>
      </c>
      <c r="G51" s="110"/>
    </row>
    <row r="52" spans="1:7" s="140" customFormat="1" ht="97.75" x14ac:dyDescent="0.3">
      <c r="A52" s="105">
        <f t="shared" si="6"/>
        <v>41</v>
      </c>
      <c r="B52" s="153" t="s">
        <v>227</v>
      </c>
      <c r="C52" s="106" t="s">
        <v>29</v>
      </c>
      <c r="D52" s="106">
        <f>'Toll Plaza'!K182</f>
        <v>1812.5</v>
      </c>
      <c r="E52" s="108"/>
      <c r="F52" s="132">
        <f t="shared" si="5"/>
        <v>0</v>
      </c>
      <c r="G52" s="110"/>
    </row>
    <row r="53" spans="1:7" s="140" customFormat="1" ht="48.9" x14ac:dyDescent="0.3">
      <c r="A53" s="105">
        <f t="shared" si="6"/>
        <v>42</v>
      </c>
      <c r="B53" s="153" t="s">
        <v>228</v>
      </c>
      <c r="C53" s="106" t="s">
        <v>29</v>
      </c>
      <c r="D53" s="106">
        <f>'Toll Plaza'!K187</f>
        <v>1812.5</v>
      </c>
      <c r="E53" s="108"/>
      <c r="F53" s="132">
        <f t="shared" si="5"/>
        <v>0</v>
      </c>
      <c r="G53" s="110"/>
    </row>
    <row r="54" spans="1:7" s="140" customFormat="1" ht="195.45" x14ac:dyDescent="0.3">
      <c r="A54" s="105">
        <f t="shared" si="6"/>
        <v>43</v>
      </c>
      <c r="B54" s="154" t="s">
        <v>191</v>
      </c>
      <c r="C54" s="125" t="s">
        <v>42</v>
      </c>
      <c r="D54" s="107">
        <f>'Toll Plaza'!K190</f>
        <v>5.7835699999999992</v>
      </c>
      <c r="E54" s="126"/>
      <c r="F54" s="132">
        <f t="shared" si="5"/>
        <v>0</v>
      </c>
      <c r="G54" s="127"/>
    </row>
    <row r="55" spans="1:7" s="140" customFormat="1" ht="85.5" x14ac:dyDescent="0.3">
      <c r="A55" s="105">
        <f t="shared" si="6"/>
        <v>44</v>
      </c>
      <c r="B55" s="153" t="s">
        <v>229</v>
      </c>
      <c r="C55" s="106" t="s">
        <v>27</v>
      </c>
      <c r="D55" s="106">
        <f>'Toll Plaza'!K193</f>
        <v>290</v>
      </c>
      <c r="E55" s="108"/>
      <c r="F55" s="109">
        <f>E55*D55</f>
        <v>0</v>
      </c>
      <c r="G55" s="110"/>
    </row>
    <row r="56" spans="1:7" s="163" customFormat="1" x14ac:dyDescent="0.3">
      <c r="A56" s="175" t="s">
        <v>98</v>
      </c>
      <c r="B56" s="176"/>
      <c r="C56" s="176"/>
      <c r="D56" s="176"/>
      <c r="E56" s="177"/>
      <c r="F56" s="146">
        <f>SUM(F7:F55)</f>
        <v>0</v>
      </c>
      <c r="G56" s="147"/>
    </row>
    <row r="57" spans="1:7" s="163" customFormat="1" x14ac:dyDescent="0.3">
      <c r="A57" s="175" t="s">
        <v>99</v>
      </c>
      <c r="B57" s="176"/>
      <c r="C57" s="176"/>
      <c r="D57" s="176"/>
      <c r="E57" s="177"/>
      <c r="F57" s="146">
        <f>F56*18%</f>
        <v>0</v>
      </c>
      <c r="G57" s="147"/>
    </row>
    <row r="58" spans="1:7" s="163" customFormat="1" ht="12.9" thickBot="1" x14ac:dyDescent="0.35">
      <c r="A58" s="178" t="s">
        <v>100</v>
      </c>
      <c r="B58" s="179"/>
      <c r="C58" s="179"/>
      <c r="D58" s="179"/>
      <c r="E58" s="180"/>
      <c r="F58" s="148">
        <f>SUM(F56:F57)</f>
        <v>0</v>
      </c>
      <c r="G58" s="149"/>
    </row>
    <row r="60" spans="1:7" ht="14.8" x14ac:dyDescent="0.3">
      <c r="B60" s="164"/>
    </row>
    <row r="61" spans="1:7" ht="23.95" customHeight="1" x14ac:dyDescent="0.3">
      <c r="A61" s="173" t="s">
        <v>231</v>
      </c>
      <c r="B61" s="173"/>
      <c r="C61" s="173"/>
      <c r="D61" s="173"/>
      <c r="E61" s="173"/>
      <c r="F61" s="173"/>
    </row>
    <row r="62" spans="1:7" ht="23.95" customHeight="1" x14ac:dyDescent="0.3">
      <c r="A62" s="172" t="s">
        <v>232</v>
      </c>
      <c r="B62" s="172"/>
      <c r="C62" s="172"/>
      <c r="D62" s="172"/>
      <c r="E62" s="172"/>
      <c r="F62" s="172"/>
    </row>
    <row r="63" spans="1:7" ht="18" customHeight="1" x14ac:dyDescent="0.3">
      <c r="A63" s="172" t="s">
        <v>230</v>
      </c>
      <c r="B63" s="172"/>
      <c r="C63" s="172"/>
      <c r="D63" s="172"/>
      <c r="E63" s="172"/>
      <c r="F63" s="172"/>
    </row>
    <row r="64" spans="1:7" ht="18" customHeight="1" x14ac:dyDescent="0.3">
      <c r="A64" s="172"/>
      <c r="B64" s="172"/>
      <c r="C64" s="172"/>
      <c r="D64" s="172"/>
      <c r="E64" s="172"/>
      <c r="F64" s="172"/>
    </row>
    <row r="65" spans="1:6" ht="18" customHeight="1" x14ac:dyDescent="0.3">
      <c r="A65" s="165"/>
      <c r="B65" s="165"/>
      <c r="C65" s="165"/>
      <c r="D65" s="165"/>
      <c r="E65" s="165"/>
      <c r="F65" s="165"/>
    </row>
  </sheetData>
  <mergeCells count="9">
    <mergeCell ref="A2:G2"/>
    <mergeCell ref="A3:G3"/>
    <mergeCell ref="A62:F62"/>
    <mergeCell ref="A61:F61"/>
    <mergeCell ref="A63:F64"/>
    <mergeCell ref="A4:G4"/>
    <mergeCell ref="A56:E56"/>
    <mergeCell ref="A57:E57"/>
    <mergeCell ref="A58:E58"/>
  </mergeCells>
  <printOptions horizontalCentered="1"/>
  <pageMargins left="0.55118110236220474" right="0.55118110236220474" top="0.55118110236220474" bottom="0.55118110236220474" header="0.31496062992125984" footer="0.31496062992125984"/>
  <pageSetup scale="61" orientation="portrait" r:id="rId1"/>
  <headerFooter>
    <oddHeader>&amp;A</oddHeader>
    <oddFooter>Page &amp;P of &amp;N</oddFooter>
  </headerFooter>
  <rowBreaks count="4" manualBreakCount="4">
    <brk id="14" max="6" man="1"/>
    <brk id="25" max="6" man="1"/>
    <brk id="46" max="6" man="1"/>
    <brk id="52"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680CE-BF7C-4D11-A514-F1A90B20143A}">
  <dimension ref="A2:N194"/>
  <sheetViews>
    <sheetView view="pageBreakPreview" zoomScale="80" zoomScaleNormal="96" zoomScaleSheetLayoutView="80" workbookViewId="0"/>
  </sheetViews>
  <sheetFormatPr defaultRowHeight="14.8" x14ac:dyDescent="0.3"/>
  <cols>
    <col min="1" max="1" width="8.88671875" style="31"/>
    <col min="2" max="2" width="24.6640625" style="31" bestFit="1" customWidth="1"/>
    <col min="3" max="3" width="13" style="32" customWidth="1"/>
    <col min="4" max="4" width="10.88671875" style="31" customWidth="1"/>
    <col min="5" max="5" width="8.109375" style="33" customWidth="1"/>
    <col min="6" max="6" width="14.21875" style="33" customWidth="1"/>
    <col min="7" max="7" width="16.5546875" style="33" customWidth="1"/>
    <col min="8" max="9" width="14.21875" style="33" customWidth="1"/>
    <col min="10" max="10" width="13.33203125" style="33" customWidth="1"/>
    <col min="11" max="11" width="12.21875" style="75" customWidth="1"/>
    <col min="12" max="12" width="14.109375" bestFit="1" customWidth="1"/>
    <col min="13" max="13" width="11.77734375" bestFit="1" customWidth="1"/>
  </cols>
  <sheetData>
    <row r="2" spans="1:11" ht="23.8" x14ac:dyDescent="0.3">
      <c r="A2" s="182" t="s">
        <v>10</v>
      </c>
      <c r="B2" s="183"/>
      <c r="C2" s="183"/>
      <c r="D2" s="183"/>
      <c r="E2" s="183"/>
      <c r="F2" s="183"/>
      <c r="G2" s="183"/>
      <c r="H2" s="183"/>
      <c r="I2" s="183"/>
      <c r="J2" s="183"/>
      <c r="K2" s="184"/>
    </row>
    <row r="3" spans="1:11" x14ac:dyDescent="0.3">
      <c r="A3" s="185" t="s">
        <v>0</v>
      </c>
      <c r="B3" s="185" t="s">
        <v>1</v>
      </c>
      <c r="C3" s="185" t="s">
        <v>18</v>
      </c>
      <c r="D3" s="185" t="s">
        <v>3</v>
      </c>
      <c r="E3" s="185" t="s">
        <v>2</v>
      </c>
      <c r="F3" s="185"/>
      <c r="G3" s="185"/>
      <c r="H3" s="185"/>
      <c r="I3" s="185"/>
      <c r="J3" s="185"/>
      <c r="K3" s="187" t="s">
        <v>9</v>
      </c>
    </row>
    <row r="4" spans="1:11" x14ac:dyDescent="0.3">
      <c r="A4" s="185"/>
      <c r="B4" s="186"/>
      <c r="C4" s="186"/>
      <c r="D4" s="186"/>
      <c r="E4" s="166" t="s">
        <v>22</v>
      </c>
      <c r="F4" s="166" t="s">
        <v>4</v>
      </c>
      <c r="G4" s="166" t="s">
        <v>5</v>
      </c>
      <c r="H4" s="166" t="s">
        <v>6</v>
      </c>
      <c r="I4" s="166" t="s">
        <v>7</v>
      </c>
      <c r="J4" s="166" t="s">
        <v>8</v>
      </c>
      <c r="K4" s="188"/>
    </row>
    <row r="5" spans="1:11" x14ac:dyDescent="0.3">
      <c r="A5" s="12">
        <v>1</v>
      </c>
      <c r="B5" s="13" t="s">
        <v>24</v>
      </c>
      <c r="C5" s="14"/>
      <c r="D5" s="14"/>
      <c r="E5" s="14"/>
      <c r="F5" s="14"/>
      <c r="G5" s="14"/>
      <c r="H5" s="14"/>
      <c r="I5" s="14"/>
      <c r="J5" s="14"/>
      <c r="K5" s="70"/>
    </row>
    <row r="6" spans="1:11" x14ac:dyDescent="0.3">
      <c r="A6" s="11"/>
      <c r="B6" s="15" t="s">
        <v>12</v>
      </c>
      <c r="C6" s="16" t="s">
        <v>19</v>
      </c>
      <c r="D6" s="16" t="s">
        <v>20</v>
      </c>
      <c r="E6" s="16">
        <v>1</v>
      </c>
      <c r="F6" s="80">
        <v>2</v>
      </c>
      <c r="G6" s="80">
        <v>1.5</v>
      </c>
      <c r="H6" s="80">
        <v>1</v>
      </c>
      <c r="I6" s="36">
        <f>PRODUCT(E6:H6)</f>
        <v>3</v>
      </c>
      <c r="J6" s="16" t="s">
        <v>23</v>
      </c>
      <c r="K6" s="71"/>
    </row>
    <row r="7" spans="1:11" x14ac:dyDescent="0.3">
      <c r="A7" s="11"/>
      <c r="B7" s="18" t="s">
        <v>13</v>
      </c>
      <c r="C7" s="8" t="s">
        <v>19</v>
      </c>
      <c r="D7" s="8" t="s">
        <v>20</v>
      </c>
      <c r="E7" s="8">
        <v>1</v>
      </c>
      <c r="F7" s="81">
        <v>2</v>
      </c>
      <c r="G7" s="81">
        <v>1.5</v>
      </c>
      <c r="H7" s="80">
        <v>1</v>
      </c>
      <c r="I7" s="37">
        <f t="shared" ref="I7:I11" si="0">PRODUCT(E7:H7)</f>
        <v>3</v>
      </c>
      <c r="J7" s="8" t="s">
        <v>23</v>
      </c>
      <c r="K7" s="69"/>
    </row>
    <row r="8" spans="1:11" x14ac:dyDescent="0.3">
      <c r="A8" s="11"/>
      <c r="B8" s="18" t="s">
        <v>14</v>
      </c>
      <c r="C8" s="8" t="s">
        <v>19</v>
      </c>
      <c r="D8" s="8" t="s">
        <v>20</v>
      </c>
      <c r="E8" s="8">
        <v>1</v>
      </c>
      <c r="F8" s="81">
        <v>2</v>
      </c>
      <c r="G8" s="81">
        <v>1.5</v>
      </c>
      <c r="H8" s="80">
        <v>1</v>
      </c>
      <c r="I8" s="37">
        <f t="shared" si="0"/>
        <v>3</v>
      </c>
      <c r="J8" s="8" t="s">
        <v>23</v>
      </c>
      <c r="K8" s="69"/>
    </row>
    <row r="9" spans="1:11" x14ac:dyDescent="0.3">
      <c r="A9" s="11"/>
      <c r="B9" s="18" t="s">
        <v>15</v>
      </c>
      <c r="C9" s="8" t="s">
        <v>19</v>
      </c>
      <c r="D9" s="8" t="s">
        <v>21</v>
      </c>
      <c r="E9" s="8">
        <v>1</v>
      </c>
      <c r="F9" s="81">
        <v>2</v>
      </c>
      <c r="G9" s="81">
        <v>1.5</v>
      </c>
      <c r="H9" s="80">
        <v>1</v>
      </c>
      <c r="I9" s="37">
        <f t="shared" si="0"/>
        <v>3</v>
      </c>
      <c r="J9" s="8" t="s">
        <v>23</v>
      </c>
      <c r="K9" s="69"/>
    </row>
    <row r="10" spans="1:11" x14ac:dyDescent="0.3">
      <c r="A10" s="11"/>
      <c r="B10" s="18" t="s">
        <v>16</v>
      </c>
      <c r="C10" s="8" t="s">
        <v>19</v>
      </c>
      <c r="D10" s="8" t="s">
        <v>21</v>
      </c>
      <c r="E10" s="8">
        <v>1</v>
      </c>
      <c r="F10" s="81">
        <v>2</v>
      </c>
      <c r="G10" s="81">
        <v>1.5</v>
      </c>
      <c r="H10" s="80">
        <v>1</v>
      </c>
      <c r="I10" s="37">
        <f t="shared" si="0"/>
        <v>3</v>
      </c>
      <c r="J10" s="8" t="s">
        <v>23</v>
      </c>
      <c r="K10" s="69"/>
    </row>
    <row r="11" spans="1:11" x14ac:dyDescent="0.3">
      <c r="A11" s="11"/>
      <c r="B11" s="19" t="s">
        <v>17</v>
      </c>
      <c r="C11" s="20" t="s">
        <v>19</v>
      </c>
      <c r="D11" s="20" t="s">
        <v>21</v>
      </c>
      <c r="E11" s="20">
        <v>1</v>
      </c>
      <c r="F11" s="82">
        <v>2</v>
      </c>
      <c r="G11" s="82">
        <v>1.5</v>
      </c>
      <c r="H11" s="80">
        <v>1</v>
      </c>
      <c r="I11" s="38">
        <f t="shared" si="0"/>
        <v>3</v>
      </c>
      <c r="J11" s="20" t="s">
        <v>23</v>
      </c>
      <c r="K11" s="83">
        <f>SUM(I6:I11)</f>
        <v>18</v>
      </c>
    </row>
    <row r="12" spans="1:11" s="5" customFormat="1" x14ac:dyDescent="0.3">
      <c r="A12" s="12">
        <v>2</v>
      </c>
      <c r="B12" s="13" t="s">
        <v>11</v>
      </c>
      <c r="C12" s="14"/>
      <c r="D12" s="14"/>
      <c r="E12" s="14"/>
      <c r="F12" s="14"/>
      <c r="G12" s="14"/>
      <c r="H12" s="14"/>
      <c r="I12" s="39"/>
      <c r="J12" s="14"/>
      <c r="K12" s="70"/>
    </row>
    <row r="13" spans="1:11" x14ac:dyDescent="0.3">
      <c r="A13" s="8"/>
      <c r="B13" s="15" t="s">
        <v>12</v>
      </c>
      <c r="C13" s="16" t="s">
        <v>19</v>
      </c>
      <c r="D13" s="16" t="s">
        <v>20</v>
      </c>
      <c r="E13" s="16">
        <v>1</v>
      </c>
      <c r="F13" s="80">
        <v>2</v>
      </c>
      <c r="G13" s="80">
        <v>1.5</v>
      </c>
      <c r="H13" s="80">
        <v>1.2250000000000001</v>
      </c>
      <c r="I13" s="36">
        <f>PRODUCT(E13:H13)</f>
        <v>3.6750000000000003</v>
      </c>
      <c r="J13" s="16" t="s">
        <v>23</v>
      </c>
      <c r="K13" s="72"/>
    </row>
    <row r="14" spans="1:11" x14ac:dyDescent="0.3">
      <c r="A14" s="8"/>
      <c r="B14" s="18" t="s">
        <v>13</v>
      </c>
      <c r="C14" s="8" t="s">
        <v>19</v>
      </c>
      <c r="D14" s="8" t="s">
        <v>20</v>
      </c>
      <c r="E14" s="8">
        <v>1</v>
      </c>
      <c r="F14" s="81">
        <v>2</v>
      </c>
      <c r="G14" s="81">
        <v>1.5</v>
      </c>
      <c r="H14" s="81">
        <v>1.2250000000000001</v>
      </c>
      <c r="I14" s="37">
        <f t="shared" ref="I14:I18" si="1">PRODUCT(E14:H14)</f>
        <v>3.6750000000000003</v>
      </c>
      <c r="J14" s="8" t="s">
        <v>23</v>
      </c>
      <c r="K14" s="50"/>
    </row>
    <row r="15" spans="1:11" x14ac:dyDescent="0.3">
      <c r="A15" s="8"/>
      <c r="B15" s="18" t="s">
        <v>14</v>
      </c>
      <c r="C15" s="8" t="s">
        <v>19</v>
      </c>
      <c r="D15" s="8" t="s">
        <v>20</v>
      </c>
      <c r="E15" s="8">
        <v>1</v>
      </c>
      <c r="F15" s="81">
        <v>2</v>
      </c>
      <c r="G15" s="81">
        <v>1.5</v>
      </c>
      <c r="H15" s="81">
        <v>1.2250000000000001</v>
      </c>
      <c r="I15" s="37">
        <f t="shared" si="1"/>
        <v>3.6750000000000003</v>
      </c>
      <c r="J15" s="8" t="s">
        <v>23</v>
      </c>
      <c r="K15" s="50"/>
    </row>
    <row r="16" spans="1:11" x14ac:dyDescent="0.3">
      <c r="A16" s="8"/>
      <c r="B16" s="18" t="s">
        <v>15</v>
      </c>
      <c r="C16" s="8" t="s">
        <v>19</v>
      </c>
      <c r="D16" s="8" t="s">
        <v>21</v>
      </c>
      <c r="E16" s="8">
        <v>1</v>
      </c>
      <c r="F16" s="81">
        <v>2</v>
      </c>
      <c r="G16" s="81">
        <v>1.5</v>
      </c>
      <c r="H16" s="81">
        <v>1.2250000000000001</v>
      </c>
      <c r="I16" s="37">
        <f t="shared" si="1"/>
        <v>3.6750000000000003</v>
      </c>
      <c r="J16" s="8" t="s">
        <v>23</v>
      </c>
      <c r="K16" s="50"/>
    </row>
    <row r="17" spans="1:11" x14ac:dyDescent="0.3">
      <c r="A17" s="8"/>
      <c r="B17" s="18" t="s">
        <v>16</v>
      </c>
      <c r="C17" s="8" t="s">
        <v>19</v>
      </c>
      <c r="D17" s="8" t="s">
        <v>21</v>
      </c>
      <c r="E17" s="8">
        <v>1</v>
      </c>
      <c r="F17" s="81">
        <v>2</v>
      </c>
      <c r="G17" s="81">
        <v>1.5</v>
      </c>
      <c r="H17" s="81">
        <v>1.2250000000000001</v>
      </c>
      <c r="I17" s="37">
        <f t="shared" si="1"/>
        <v>3.6750000000000003</v>
      </c>
      <c r="J17" s="8" t="s">
        <v>23</v>
      </c>
      <c r="K17" s="50"/>
    </row>
    <row r="18" spans="1:11" x14ac:dyDescent="0.3">
      <c r="A18" s="8"/>
      <c r="B18" s="21" t="s">
        <v>17</v>
      </c>
      <c r="C18" s="20" t="s">
        <v>19</v>
      </c>
      <c r="D18" s="20" t="s">
        <v>21</v>
      </c>
      <c r="E18" s="20">
        <v>1</v>
      </c>
      <c r="F18" s="82">
        <v>2</v>
      </c>
      <c r="G18" s="82">
        <v>1.5</v>
      </c>
      <c r="H18" s="82">
        <v>1.2250000000000001</v>
      </c>
      <c r="I18" s="38">
        <f t="shared" si="1"/>
        <v>3.6750000000000003</v>
      </c>
      <c r="J18" s="20" t="s">
        <v>23</v>
      </c>
      <c r="K18" s="83">
        <f>SUM(I13:I18)</f>
        <v>22.05</v>
      </c>
    </row>
    <row r="19" spans="1:11" s="5" customFormat="1" x14ac:dyDescent="0.3">
      <c r="A19" s="12">
        <v>3</v>
      </c>
      <c r="B19" s="13" t="s">
        <v>171</v>
      </c>
      <c r="C19" s="14"/>
      <c r="D19" s="14"/>
      <c r="E19" s="14"/>
      <c r="F19" s="14"/>
      <c r="G19" s="14"/>
      <c r="H19" s="14"/>
      <c r="I19" s="39"/>
      <c r="J19" s="14"/>
      <c r="K19" s="70"/>
    </row>
    <row r="20" spans="1:11" x14ac:dyDescent="0.3">
      <c r="A20" s="8"/>
      <c r="B20" s="22" t="s">
        <v>12</v>
      </c>
      <c r="C20" s="16" t="s">
        <v>19</v>
      </c>
      <c r="D20" s="16" t="s">
        <v>20</v>
      </c>
      <c r="E20" s="16">
        <v>1</v>
      </c>
      <c r="F20" s="16"/>
      <c r="G20" s="16"/>
      <c r="H20" s="16"/>
      <c r="I20" s="80">
        <f>(I13*60)/1000</f>
        <v>0.22050000000000003</v>
      </c>
      <c r="J20" s="16" t="s">
        <v>42</v>
      </c>
      <c r="K20" s="72"/>
    </row>
    <row r="21" spans="1:11" x14ac:dyDescent="0.3">
      <c r="A21" s="8"/>
      <c r="B21" s="23" t="s">
        <v>13</v>
      </c>
      <c r="C21" s="8" t="s">
        <v>19</v>
      </c>
      <c r="D21" s="8" t="s">
        <v>20</v>
      </c>
      <c r="E21" s="8">
        <v>1</v>
      </c>
      <c r="F21" s="8"/>
      <c r="G21" s="8"/>
      <c r="H21" s="8"/>
      <c r="I21" s="80">
        <f t="shared" ref="I21:I25" si="2">(I14*60)/1000</f>
        <v>0.22050000000000003</v>
      </c>
      <c r="J21" s="16" t="s">
        <v>42</v>
      </c>
      <c r="K21" s="50"/>
    </row>
    <row r="22" spans="1:11" x14ac:dyDescent="0.3">
      <c r="A22" s="8"/>
      <c r="B22" s="23" t="s">
        <v>14</v>
      </c>
      <c r="C22" s="8" t="s">
        <v>19</v>
      </c>
      <c r="D22" s="8" t="s">
        <v>20</v>
      </c>
      <c r="E22" s="8">
        <v>1</v>
      </c>
      <c r="F22" s="8"/>
      <c r="G22" s="8"/>
      <c r="H22" s="8"/>
      <c r="I22" s="80">
        <f t="shared" si="2"/>
        <v>0.22050000000000003</v>
      </c>
      <c r="J22" s="16" t="s">
        <v>42</v>
      </c>
      <c r="K22" s="50"/>
    </row>
    <row r="23" spans="1:11" x14ac:dyDescent="0.3">
      <c r="A23" s="8"/>
      <c r="B23" s="23" t="s">
        <v>15</v>
      </c>
      <c r="C23" s="8" t="s">
        <v>19</v>
      </c>
      <c r="D23" s="8" t="s">
        <v>21</v>
      </c>
      <c r="E23" s="8">
        <v>1</v>
      </c>
      <c r="F23" s="8"/>
      <c r="G23" s="8"/>
      <c r="H23" s="8"/>
      <c r="I23" s="80">
        <f t="shared" si="2"/>
        <v>0.22050000000000003</v>
      </c>
      <c r="J23" s="16" t="s">
        <v>42</v>
      </c>
      <c r="K23" s="50"/>
    </row>
    <row r="24" spans="1:11" x14ac:dyDescent="0.3">
      <c r="A24" s="8"/>
      <c r="B24" s="23" t="s">
        <v>16</v>
      </c>
      <c r="C24" s="8" t="s">
        <v>19</v>
      </c>
      <c r="D24" s="8" t="s">
        <v>21</v>
      </c>
      <c r="E24" s="8">
        <v>1</v>
      </c>
      <c r="F24" s="8"/>
      <c r="G24" s="8"/>
      <c r="H24" s="8"/>
      <c r="I24" s="80">
        <f t="shared" si="2"/>
        <v>0.22050000000000003</v>
      </c>
      <c r="J24" s="16" t="s">
        <v>42</v>
      </c>
      <c r="K24" s="50"/>
    </row>
    <row r="25" spans="1:11" x14ac:dyDescent="0.3">
      <c r="A25" s="8"/>
      <c r="B25" s="21" t="s">
        <v>17</v>
      </c>
      <c r="C25" s="20" t="s">
        <v>19</v>
      </c>
      <c r="D25" s="20" t="s">
        <v>21</v>
      </c>
      <c r="E25" s="20">
        <v>1</v>
      </c>
      <c r="F25" s="20"/>
      <c r="G25" s="20"/>
      <c r="H25" s="20"/>
      <c r="I25" s="80">
        <f t="shared" si="2"/>
        <v>0.22050000000000003</v>
      </c>
      <c r="J25" s="16" t="s">
        <v>42</v>
      </c>
      <c r="K25" s="83">
        <f>SUM(I20:I25)</f>
        <v>1.323</v>
      </c>
    </row>
    <row r="26" spans="1:11" x14ac:dyDescent="0.3">
      <c r="A26" s="12">
        <v>4</v>
      </c>
      <c r="B26" s="13" t="s">
        <v>43</v>
      </c>
      <c r="C26" s="14"/>
      <c r="D26" s="14"/>
      <c r="E26" s="14"/>
      <c r="F26" s="14"/>
      <c r="G26" s="14"/>
      <c r="H26" s="14"/>
      <c r="I26" s="39"/>
      <c r="J26" s="14"/>
      <c r="K26" s="70"/>
    </row>
    <row r="27" spans="1:11" x14ac:dyDescent="0.3">
      <c r="A27" s="8"/>
      <c r="B27" s="22" t="s">
        <v>12</v>
      </c>
      <c r="C27" s="16" t="s">
        <v>19</v>
      </c>
      <c r="D27" s="16" t="s">
        <v>20</v>
      </c>
      <c r="E27" s="16">
        <v>1</v>
      </c>
      <c r="F27" s="80">
        <f>2+2+1.5+0.15</f>
        <v>5.65</v>
      </c>
      <c r="G27" s="80"/>
      <c r="H27" s="80">
        <f>H13</f>
        <v>1.2250000000000001</v>
      </c>
      <c r="I27" s="80">
        <f>PRODUCT(E27:H27)</f>
        <v>6.9212500000000006</v>
      </c>
      <c r="J27" s="16" t="s">
        <v>29</v>
      </c>
      <c r="K27" s="72"/>
    </row>
    <row r="28" spans="1:11" x14ac:dyDescent="0.3">
      <c r="A28" s="8"/>
      <c r="B28" s="23" t="s">
        <v>13</v>
      </c>
      <c r="C28" s="8" t="s">
        <v>19</v>
      </c>
      <c r="D28" s="8" t="s">
        <v>20</v>
      </c>
      <c r="E28" s="8">
        <v>1</v>
      </c>
      <c r="F28" s="80">
        <f t="shared" ref="F28:F32" si="3">2+2+1.5+0.15</f>
        <v>5.65</v>
      </c>
      <c r="G28" s="81"/>
      <c r="H28" s="80">
        <f t="shared" ref="H28:H32" si="4">H14</f>
        <v>1.2250000000000001</v>
      </c>
      <c r="I28" s="81">
        <f t="shared" ref="I28:I32" si="5">PRODUCT(E28:H28)</f>
        <v>6.9212500000000006</v>
      </c>
      <c r="J28" s="16" t="s">
        <v>29</v>
      </c>
      <c r="K28" s="50"/>
    </row>
    <row r="29" spans="1:11" x14ac:dyDescent="0.3">
      <c r="A29" s="8"/>
      <c r="B29" s="23" t="s">
        <v>14</v>
      </c>
      <c r="C29" s="8" t="s">
        <v>19</v>
      </c>
      <c r="D29" s="8" t="s">
        <v>20</v>
      </c>
      <c r="E29" s="8">
        <v>1</v>
      </c>
      <c r="F29" s="80">
        <f t="shared" si="3"/>
        <v>5.65</v>
      </c>
      <c r="G29" s="81"/>
      <c r="H29" s="80">
        <f t="shared" si="4"/>
        <v>1.2250000000000001</v>
      </c>
      <c r="I29" s="81">
        <f t="shared" si="5"/>
        <v>6.9212500000000006</v>
      </c>
      <c r="J29" s="16" t="s">
        <v>29</v>
      </c>
      <c r="K29" s="50"/>
    </row>
    <row r="30" spans="1:11" x14ac:dyDescent="0.3">
      <c r="A30" s="8"/>
      <c r="B30" s="23" t="s">
        <v>15</v>
      </c>
      <c r="C30" s="8" t="s">
        <v>19</v>
      </c>
      <c r="D30" s="8" t="s">
        <v>21</v>
      </c>
      <c r="E30" s="8">
        <v>1</v>
      </c>
      <c r="F30" s="80">
        <f t="shared" si="3"/>
        <v>5.65</v>
      </c>
      <c r="G30" s="81"/>
      <c r="H30" s="80">
        <f t="shared" si="4"/>
        <v>1.2250000000000001</v>
      </c>
      <c r="I30" s="81">
        <f t="shared" si="5"/>
        <v>6.9212500000000006</v>
      </c>
      <c r="J30" s="16" t="s">
        <v>29</v>
      </c>
      <c r="K30" s="50"/>
    </row>
    <row r="31" spans="1:11" x14ac:dyDescent="0.3">
      <c r="A31" s="8"/>
      <c r="B31" s="23" t="s">
        <v>16</v>
      </c>
      <c r="C31" s="8" t="s">
        <v>19</v>
      </c>
      <c r="D31" s="8" t="s">
        <v>21</v>
      </c>
      <c r="E31" s="8">
        <v>1</v>
      </c>
      <c r="F31" s="80">
        <f t="shared" si="3"/>
        <v>5.65</v>
      </c>
      <c r="G31" s="81"/>
      <c r="H31" s="80">
        <f t="shared" si="4"/>
        <v>1.2250000000000001</v>
      </c>
      <c r="I31" s="81">
        <f t="shared" si="5"/>
        <v>6.9212500000000006</v>
      </c>
      <c r="J31" s="16" t="s">
        <v>29</v>
      </c>
      <c r="K31" s="50"/>
    </row>
    <row r="32" spans="1:11" x14ac:dyDescent="0.3">
      <c r="A32" s="8"/>
      <c r="B32" s="21" t="s">
        <v>17</v>
      </c>
      <c r="C32" s="20" t="s">
        <v>19</v>
      </c>
      <c r="D32" s="20" t="s">
        <v>21</v>
      </c>
      <c r="E32" s="20">
        <v>1</v>
      </c>
      <c r="F32" s="80">
        <f t="shared" si="3"/>
        <v>5.65</v>
      </c>
      <c r="G32" s="82"/>
      <c r="H32" s="80">
        <f t="shared" si="4"/>
        <v>1.2250000000000001</v>
      </c>
      <c r="I32" s="82">
        <f t="shared" si="5"/>
        <v>6.9212500000000006</v>
      </c>
      <c r="J32" s="16" t="s">
        <v>29</v>
      </c>
      <c r="K32" s="83">
        <f>SUM(I27:I32)</f>
        <v>41.527500000000003</v>
      </c>
    </row>
    <row r="33" spans="1:14" x14ac:dyDescent="0.3">
      <c r="A33" s="24"/>
      <c r="B33" s="25"/>
      <c r="C33" s="26"/>
      <c r="D33" s="26"/>
      <c r="E33" s="26"/>
      <c r="F33" s="26"/>
      <c r="G33" s="26"/>
      <c r="H33" s="26"/>
      <c r="I33" s="40"/>
      <c r="J33" s="26"/>
      <c r="K33" s="73"/>
    </row>
    <row r="34" spans="1:14" s="5" customFormat="1" x14ac:dyDescent="0.3">
      <c r="A34" s="12">
        <v>5</v>
      </c>
      <c r="B34" s="13" t="s">
        <v>44</v>
      </c>
      <c r="C34" s="14"/>
      <c r="D34" s="14"/>
      <c r="E34" s="14"/>
      <c r="F34" s="14"/>
      <c r="G34" s="14"/>
      <c r="H34" s="14"/>
      <c r="I34" s="39"/>
      <c r="J34" s="14"/>
      <c r="K34" s="70"/>
    </row>
    <row r="35" spans="1:14" x14ac:dyDescent="0.3">
      <c r="A35" s="8"/>
      <c r="B35" s="22" t="s">
        <v>12</v>
      </c>
      <c r="C35" s="16" t="s">
        <v>19</v>
      </c>
      <c r="D35" s="16" t="s">
        <v>20</v>
      </c>
      <c r="E35" s="16">
        <v>1</v>
      </c>
      <c r="F35" s="77">
        <f>25+7.5+6</f>
        <v>38.5</v>
      </c>
      <c r="G35" s="16"/>
      <c r="H35" s="16"/>
      <c r="I35" s="77">
        <f>PRODUCT(E35:H35)</f>
        <v>38.5</v>
      </c>
      <c r="J35" s="16" t="s">
        <v>27</v>
      </c>
      <c r="K35" s="76" t="s">
        <v>110</v>
      </c>
    </row>
    <row r="36" spans="1:14" x14ac:dyDescent="0.3">
      <c r="A36" s="8"/>
      <c r="B36" s="23" t="s">
        <v>13</v>
      </c>
      <c r="C36" s="8" t="s">
        <v>19</v>
      </c>
      <c r="D36" s="8" t="s">
        <v>20</v>
      </c>
      <c r="E36" s="8">
        <v>1</v>
      </c>
      <c r="F36" s="8">
        <v>25</v>
      </c>
      <c r="G36" s="8"/>
      <c r="H36" s="8"/>
      <c r="I36" s="78">
        <f t="shared" ref="I36:I41" si="6">PRODUCT(E36:H36)</f>
        <v>25</v>
      </c>
      <c r="J36" s="8" t="s">
        <v>27</v>
      </c>
      <c r="K36" s="50"/>
    </row>
    <row r="37" spans="1:14" x14ac:dyDescent="0.3">
      <c r="A37" s="8"/>
      <c r="B37" s="23" t="s">
        <v>14</v>
      </c>
      <c r="C37" s="8" t="s">
        <v>19</v>
      </c>
      <c r="D37" s="8" t="s">
        <v>20</v>
      </c>
      <c r="E37" s="8">
        <v>1</v>
      </c>
      <c r="F37" s="8">
        <v>25</v>
      </c>
      <c r="G37" s="8"/>
      <c r="H37" s="8"/>
      <c r="I37" s="78">
        <f t="shared" si="6"/>
        <v>25</v>
      </c>
      <c r="J37" s="8" t="s">
        <v>27</v>
      </c>
      <c r="K37" s="50"/>
    </row>
    <row r="38" spans="1:14" x14ac:dyDescent="0.3">
      <c r="A38" s="8"/>
      <c r="B38" s="23" t="s">
        <v>25</v>
      </c>
      <c r="C38" s="8" t="s">
        <v>19</v>
      </c>
      <c r="D38" s="8" t="s">
        <v>26</v>
      </c>
      <c r="E38" s="8">
        <v>1</v>
      </c>
      <c r="F38" s="8">
        <v>35</v>
      </c>
      <c r="G38" s="8"/>
      <c r="H38" s="8"/>
      <c r="I38" s="78">
        <f t="shared" si="6"/>
        <v>35</v>
      </c>
      <c r="J38" s="8" t="s">
        <v>27</v>
      </c>
      <c r="K38" s="50"/>
    </row>
    <row r="39" spans="1:14" x14ac:dyDescent="0.3">
      <c r="A39" s="8"/>
      <c r="B39" s="23" t="s">
        <v>15</v>
      </c>
      <c r="C39" s="8" t="s">
        <v>19</v>
      </c>
      <c r="D39" s="8" t="s">
        <v>21</v>
      </c>
      <c r="E39" s="8">
        <v>1</v>
      </c>
      <c r="F39" s="8">
        <v>30</v>
      </c>
      <c r="G39" s="8"/>
      <c r="H39" s="8"/>
      <c r="I39" s="78">
        <f t="shared" si="6"/>
        <v>30</v>
      </c>
      <c r="J39" s="8" t="s">
        <v>27</v>
      </c>
      <c r="K39" s="50"/>
    </row>
    <row r="40" spans="1:14" x14ac:dyDescent="0.3">
      <c r="A40" s="8"/>
      <c r="B40" s="23" t="s">
        <v>16</v>
      </c>
      <c r="C40" s="8" t="s">
        <v>19</v>
      </c>
      <c r="D40" s="8" t="s">
        <v>21</v>
      </c>
      <c r="E40" s="8">
        <v>1</v>
      </c>
      <c r="F40" s="8">
        <v>25</v>
      </c>
      <c r="G40" s="8"/>
      <c r="H40" s="8"/>
      <c r="I40" s="78">
        <f t="shared" si="6"/>
        <v>25</v>
      </c>
      <c r="J40" s="8" t="s">
        <v>27</v>
      </c>
      <c r="K40" s="50"/>
      <c r="N40">
        <f>6+6+7.5+7.5+1.25+1.25+25+25</f>
        <v>79.5</v>
      </c>
    </row>
    <row r="41" spans="1:14" x14ac:dyDescent="0.3">
      <c r="A41" s="20"/>
      <c r="B41" s="21" t="s">
        <v>17</v>
      </c>
      <c r="C41" s="20" t="s">
        <v>19</v>
      </c>
      <c r="D41" s="20" t="s">
        <v>21</v>
      </c>
      <c r="E41" s="20">
        <v>1</v>
      </c>
      <c r="F41" s="20">
        <v>35</v>
      </c>
      <c r="G41" s="20"/>
      <c r="H41" s="20"/>
      <c r="I41" s="79">
        <f t="shared" si="6"/>
        <v>35</v>
      </c>
      <c r="J41" s="20" t="s">
        <v>27</v>
      </c>
      <c r="K41" s="83">
        <f>SUM(I35:I41)</f>
        <v>213.5</v>
      </c>
    </row>
    <row r="42" spans="1:14" s="5" customFormat="1" x14ac:dyDescent="0.3">
      <c r="A42" s="11">
        <v>6</v>
      </c>
      <c r="B42" s="27" t="s">
        <v>28</v>
      </c>
      <c r="C42" s="14"/>
      <c r="D42" s="14"/>
      <c r="E42" s="14"/>
      <c r="F42" s="14"/>
      <c r="G42" s="14"/>
      <c r="H42" s="14"/>
      <c r="I42" s="39"/>
      <c r="J42" s="14"/>
      <c r="K42" s="70"/>
    </row>
    <row r="43" spans="1:14" x14ac:dyDescent="0.3">
      <c r="A43" s="16"/>
      <c r="B43" s="90" t="s">
        <v>12</v>
      </c>
      <c r="C43" s="16" t="s">
        <v>19</v>
      </c>
      <c r="D43" s="16" t="s">
        <v>20</v>
      </c>
      <c r="E43" s="16">
        <v>1</v>
      </c>
      <c r="F43" s="16">
        <v>80</v>
      </c>
      <c r="G43" s="16">
        <f>0.45+0.25</f>
        <v>0.7</v>
      </c>
      <c r="H43" s="16"/>
      <c r="I43" s="36">
        <f>PRODUCT(E43:H43)</f>
        <v>56</v>
      </c>
      <c r="J43" s="16" t="s">
        <v>29</v>
      </c>
      <c r="K43" s="72"/>
    </row>
    <row r="44" spans="1:14" x14ac:dyDescent="0.3">
      <c r="A44" s="8"/>
      <c r="B44" s="29" t="s">
        <v>13</v>
      </c>
      <c r="C44" s="8" t="s">
        <v>19</v>
      </c>
      <c r="D44" s="8" t="s">
        <v>20</v>
      </c>
      <c r="E44" s="8">
        <v>1</v>
      </c>
      <c r="F44" s="8">
        <v>80</v>
      </c>
      <c r="G44" s="8">
        <f t="shared" ref="G44:G49" si="7">0.45+0.25</f>
        <v>0.7</v>
      </c>
      <c r="H44" s="8"/>
      <c r="I44" s="37">
        <f t="shared" ref="I44:I49" si="8">PRODUCT(E44:H44)</f>
        <v>56</v>
      </c>
      <c r="J44" s="8" t="s">
        <v>29</v>
      </c>
      <c r="K44" s="50"/>
    </row>
    <row r="45" spans="1:14" x14ac:dyDescent="0.3">
      <c r="A45" s="8"/>
      <c r="B45" s="29" t="s">
        <v>14</v>
      </c>
      <c r="C45" s="8" t="s">
        <v>19</v>
      </c>
      <c r="D45" s="8" t="s">
        <v>20</v>
      </c>
      <c r="E45" s="8">
        <v>1</v>
      </c>
      <c r="F45" s="8">
        <v>80</v>
      </c>
      <c r="G45" s="8">
        <f t="shared" si="7"/>
        <v>0.7</v>
      </c>
      <c r="H45" s="8"/>
      <c r="I45" s="37">
        <f t="shared" si="8"/>
        <v>56</v>
      </c>
      <c r="J45" s="8" t="s">
        <v>29</v>
      </c>
      <c r="K45" s="50"/>
    </row>
    <row r="46" spans="1:14" x14ac:dyDescent="0.3">
      <c r="A46" s="8"/>
      <c r="B46" s="29" t="s">
        <v>25</v>
      </c>
      <c r="C46" s="8" t="s">
        <v>19</v>
      </c>
      <c r="D46" s="8" t="s">
        <v>26</v>
      </c>
      <c r="E46" s="8">
        <v>1</v>
      </c>
      <c r="F46" s="8">
        <v>215</v>
      </c>
      <c r="G46" s="8">
        <f t="shared" si="7"/>
        <v>0.7</v>
      </c>
      <c r="H46" s="8"/>
      <c r="I46" s="37">
        <f t="shared" si="8"/>
        <v>150.5</v>
      </c>
      <c r="J46" s="8" t="s">
        <v>29</v>
      </c>
      <c r="K46" s="50"/>
    </row>
    <row r="47" spans="1:14" x14ac:dyDescent="0.3">
      <c r="A47" s="8"/>
      <c r="B47" s="29" t="s">
        <v>15</v>
      </c>
      <c r="C47" s="8" t="s">
        <v>19</v>
      </c>
      <c r="D47" s="8" t="s">
        <v>21</v>
      </c>
      <c r="E47" s="8">
        <v>1</v>
      </c>
      <c r="F47" s="8">
        <v>80</v>
      </c>
      <c r="G47" s="8">
        <f t="shared" si="7"/>
        <v>0.7</v>
      </c>
      <c r="H47" s="8"/>
      <c r="I47" s="37">
        <f t="shared" si="8"/>
        <v>56</v>
      </c>
      <c r="J47" s="8" t="s">
        <v>29</v>
      </c>
      <c r="K47" s="50"/>
    </row>
    <row r="48" spans="1:14" x14ac:dyDescent="0.3">
      <c r="A48" s="8"/>
      <c r="B48" s="29" t="s">
        <v>16</v>
      </c>
      <c r="C48" s="8" t="s">
        <v>19</v>
      </c>
      <c r="D48" s="8" t="s">
        <v>21</v>
      </c>
      <c r="E48" s="8">
        <v>1</v>
      </c>
      <c r="F48" s="8">
        <v>80</v>
      </c>
      <c r="G48" s="8">
        <f t="shared" si="7"/>
        <v>0.7</v>
      </c>
      <c r="H48" s="8"/>
      <c r="I48" s="37">
        <f t="shared" si="8"/>
        <v>56</v>
      </c>
      <c r="J48" s="8" t="s">
        <v>29</v>
      </c>
      <c r="K48" s="50"/>
    </row>
    <row r="49" spans="1:12" x14ac:dyDescent="0.3">
      <c r="A49" s="8"/>
      <c r="B49" s="29" t="s">
        <v>17</v>
      </c>
      <c r="C49" s="8" t="s">
        <v>19</v>
      </c>
      <c r="D49" s="8" t="s">
        <v>21</v>
      </c>
      <c r="E49" s="8">
        <v>1</v>
      </c>
      <c r="F49" s="8">
        <v>80</v>
      </c>
      <c r="G49" s="8">
        <f t="shared" si="7"/>
        <v>0.7</v>
      </c>
      <c r="H49" s="8"/>
      <c r="I49" s="37">
        <f t="shared" si="8"/>
        <v>56</v>
      </c>
      <c r="J49" s="8" t="s">
        <v>29</v>
      </c>
      <c r="K49" s="50">
        <f>SUM(I43:I49)</f>
        <v>486.5</v>
      </c>
    </row>
    <row r="50" spans="1:12" x14ac:dyDescent="0.3">
      <c r="A50" s="11">
        <v>7</v>
      </c>
      <c r="B50" s="27" t="s">
        <v>172</v>
      </c>
      <c r="C50" s="14"/>
      <c r="D50" s="14"/>
      <c r="E50" s="14"/>
      <c r="F50" s="14"/>
      <c r="G50" s="14"/>
      <c r="H50" s="14"/>
      <c r="I50" s="39"/>
      <c r="J50" s="14"/>
      <c r="K50" s="70"/>
    </row>
    <row r="51" spans="1:12" x14ac:dyDescent="0.3">
      <c r="A51" s="16"/>
      <c r="B51" s="15" t="s">
        <v>12</v>
      </c>
      <c r="C51" s="16" t="s">
        <v>19</v>
      </c>
      <c r="D51" s="16" t="s">
        <v>20</v>
      </c>
      <c r="E51" s="16">
        <v>1</v>
      </c>
      <c r="F51" s="16">
        <v>80</v>
      </c>
      <c r="G51" s="16">
        <f>0.45+0.25</f>
        <v>0.7</v>
      </c>
      <c r="H51" s="16"/>
      <c r="I51" s="36">
        <f>PRODUCT(E51:H51)</f>
        <v>56</v>
      </c>
      <c r="J51" s="16" t="s">
        <v>29</v>
      </c>
      <c r="K51" s="72"/>
    </row>
    <row r="52" spans="1:12" x14ac:dyDescent="0.3">
      <c r="A52" s="8"/>
      <c r="B52" s="18" t="s">
        <v>13</v>
      </c>
      <c r="C52" s="8" t="s">
        <v>19</v>
      </c>
      <c r="D52" s="8" t="s">
        <v>20</v>
      </c>
      <c r="E52" s="8">
        <v>1</v>
      </c>
      <c r="F52" s="8">
        <v>80</v>
      </c>
      <c r="G52" s="8">
        <f t="shared" ref="G52:G57" si="9">0.45+0.25</f>
        <v>0.7</v>
      </c>
      <c r="H52" s="8"/>
      <c r="I52" s="37">
        <f t="shared" ref="I52:I57" si="10">PRODUCT(E52:H52)</f>
        <v>56</v>
      </c>
      <c r="J52" s="8" t="s">
        <v>29</v>
      </c>
      <c r="K52" s="50"/>
    </row>
    <row r="53" spans="1:12" x14ac:dyDescent="0.3">
      <c r="A53" s="8"/>
      <c r="B53" s="18" t="s">
        <v>14</v>
      </c>
      <c r="C53" s="8" t="s">
        <v>19</v>
      </c>
      <c r="D53" s="8" t="s">
        <v>20</v>
      </c>
      <c r="E53" s="8">
        <v>1</v>
      </c>
      <c r="F53" s="8">
        <v>80</v>
      </c>
      <c r="G53" s="8">
        <f t="shared" si="9"/>
        <v>0.7</v>
      </c>
      <c r="H53" s="8"/>
      <c r="I53" s="37">
        <f t="shared" si="10"/>
        <v>56</v>
      </c>
      <c r="J53" s="8" t="s">
        <v>29</v>
      </c>
      <c r="K53" s="50"/>
    </row>
    <row r="54" spans="1:12" x14ac:dyDescent="0.3">
      <c r="A54" s="8"/>
      <c r="B54" s="18" t="s">
        <v>25</v>
      </c>
      <c r="C54" s="8" t="s">
        <v>19</v>
      </c>
      <c r="D54" s="8" t="s">
        <v>26</v>
      </c>
      <c r="E54" s="8">
        <v>1</v>
      </c>
      <c r="F54" s="8">
        <v>215</v>
      </c>
      <c r="G54" s="8">
        <f t="shared" si="9"/>
        <v>0.7</v>
      </c>
      <c r="H54" s="8"/>
      <c r="I54" s="37">
        <f t="shared" si="10"/>
        <v>150.5</v>
      </c>
      <c r="J54" s="8" t="s">
        <v>29</v>
      </c>
      <c r="K54" s="50"/>
    </row>
    <row r="55" spans="1:12" x14ac:dyDescent="0.3">
      <c r="A55" s="8"/>
      <c r="B55" s="18" t="s">
        <v>15</v>
      </c>
      <c r="C55" s="8" t="s">
        <v>19</v>
      </c>
      <c r="D55" s="8" t="s">
        <v>21</v>
      </c>
      <c r="E55" s="8">
        <v>1</v>
      </c>
      <c r="F55" s="8">
        <v>80</v>
      </c>
      <c r="G55" s="8">
        <f t="shared" si="9"/>
        <v>0.7</v>
      </c>
      <c r="H55" s="8"/>
      <c r="I55" s="37">
        <f t="shared" si="10"/>
        <v>56</v>
      </c>
      <c r="J55" s="8" t="s">
        <v>29</v>
      </c>
      <c r="K55" s="50"/>
    </row>
    <row r="56" spans="1:12" x14ac:dyDescent="0.3">
      <c r="A56" s="8"/>
      <c r="B56" s="18" t="s">
        <v>16</v>
      </c>
      <c r="C56" s="8" t="s">
        <v>19</v>
      </c>
      <c r="D56" s="8" t="s">
        <v>21</v>
      </c>
      <c r="E56" s="8">
        <v>1</v>
      </c>
      <c r="F56" s="8">
        <v>80</v>
      </c>
      <c r="G56" s="8">
        <f t="shared" si="9"/>
        <v>0.7</v>
      </c>
      <c r="H56" s="8"/>
      <c r="I56" s="37">
        <f t="shared" si="10"/>
        <v>56</v>
      </c>
      <c r="J56" s="8" t="s">
        <v>29</v>
      </c>
      <c r="K56" s="50"/>
    </row>
    <row r="57" spans="1:12" x14ac:dyDescent="0.3">
      <c r="A57" s="8"/>
      <c r="B57" s="18" t="s">
        <v>17</v>
      </c>
      <c r="C57" s="8" t="s">
        <v>19</v>
      </c>
      <c r="D57" s="8" t="s">
        <v>21</v>
      </c>
      <c r="E57" s="8">
        <v>1</v>
      </c>
      <c r="F57" s="8">
        <v>80</v>
      </c>
      <c r="G57" s="8">
        <f t="shared" si="9"/>
        <v>0.7</v>
      </c>
      <c r="H57" s="8"/>
      <c r="I57" s="37">
        <f t="shared" si="10"/>
        <v>56</v>
      </c>
      <c r="J57" s="8" t="s">
        <v>29</v>
      </c>
      <c r="K57" s="84">
        <f>SUM(I51:I57)</f>
        <v>486.5</v>
      </c>
    </row>
    <row r="58" spans="1:12" x14ac:dyDescent="0.3">
      <c r="A58" s="11">
        <v>8</v>
      </c>
      <c r="B58" s="27" t="s">
        <v>30</v>
      </c>
      <c r="C58" s="14"/>
      <c r="D58" s="14"/>
      <c r="E58" s="14"/>
      <c r="F58" s="14"/>
      <c r="G58" s="14"/>
      <c r="H58" s="14"/>
      <c r="I58" s="39"/>
      <c r="J58" s="14"/>
      <c r="K58" s="70"/>
    </row>
    <row r="59" spans="1:12" x14ac:dyDescent="0.3">
      <c r="A59" s="16"/>
      <c r="B59" s="15" t="s">
        <v>12</v>
      </c>
      <c r="C59" s="16" t="s">
        <v>19</v>
      </c>
      <c r="D59" s="16" t="s">
        <v>20</v>
      </c>
      <c r="E59" s="16">
        <v>1</v>
      </c>
      <c r="F59" s="16">
        <f>25+7.5</f>
        <v>32.5</v>
      </c>
      <c r="G59" s="16">
        <v>1.75</v>
      </c>
      <c r="H59" s="16">
        <v>0.1</v>
      </c>
      <c r="I59" s="36">
        <f>PRODUCT(E59:H59)</f>
        <v>5.6875</v>
      </c>
      <c r="J59" s="16" t="s">
        <v>23</v>
      </c>
      <c r="K59" s="72"/>
      <c r="L59">
        <f>120*6</f>
        <v>720</v>
      </c>
    </row>
    <row r="60" spans="1:12" x14ac:dyDescent="0.3">
      <c r="A60" s="8"/>
      <c r="B60" s="18" t="s">
        <v>13</v>
      </c>
      <c r="C60" s="8" t="s">
        <v>19</v>
      </c>
      <c r="D60" s="8" t="s">
        <v>20</v>
      </c>
      <c r="E60" s="8">
        <v>1</v>
      </c>
      <c r="F60" s="16">
        <f t="shared" ref="F60:F64" si="11">25+7.5</f>
        <v>32.5</v>
      </c>
      <c r="G60" s="16">
        <v>1.75</v>
      </c>
      <c r="H60" s="16">
        <v>0.1</v>
      </c>
      <c r="I60" s="37">
        <f t="shared" ref="I60:I64" si="12">PRODUCT(E60:H60)</f>
        <v>5.6875</v>
      </c>
      <c r="J60" s="16" t="s">
        <v>23</v>
      </c>
      <c r="K60" s="50"/>
    </row>
    <row r="61" spans="1:12" x14ac:dyDescent="0.3">
      <c r="A61" s="8"/>
      <c r="B61" s="18" t="s">
        <v>14</v>
      </c>
      <c r="C61" s="8" t="s">
        <v>19</v>
      </c>
      <c r="D61" s="8" t="s">
        <v>20</v>
      </c>
      <c r="E61" s="8">
        <v>1</v>
      </c>
      <c r="F61" s="16">
        <f t="shared" si="11"/>
        <v>32.5</v>
      </c>
      <c r="G61" s="16">
        <v>1.75</v>
      </c>
      <c r="H61" s="16">
        <v>0.1</v>
      </c>
      <c r="I61" s="37">
        <f t="shared" si="12"/>
        <v>5.6875</v>
      </c>
      <c r="J61" s="16" t="s">
        <v>23</v>
      </c>
      <c r="K61" s="50"/>
    </row>
    <row r="62" spans="1:12" x14ac:dyDescent="0.3">
      <c r="A62" s="8"/>
      <c r="B62" s="18" t="s">
        <v>15</v>
      </c>
      <c r="C62" s="8" t="s">
        <v>19</v>
      </c>
      <c r="D62" s="8" t="s">
        <v>21</v>
      </c>
      <c r="E62" s="8">
        <v>1</v>
      </c>
      <c r="F62" s="16">
        <f t="shared" si="11"/>
        <v>32.5</v>
      </c>
      <c r="G62" s="16">
        <v>1.75</v>
      </c>
      <c r="H62" s="16">
        <v>0.1</v>
      </c>
      <c r="I62" s="37">
        <f t="shared" si="12"/>
        <v>5.6875</v>
      </c>
      <c r="J62" s="16" t="s">
        <v>23</v>
      </c>
      <c r="K62" s="50"/>
    </row>
    <row r="63" spans="1:12" x14ac:dyDescent="0.3">
      <c r="A63" s="8"/>
      <c r="B63" s="18" t="s">
        <v>16</v>
      </c>
      <c r="C63" s="8" t="s">
        <v>19</v>
      </c>
      <c r="D63" s="8" t="s">
        <v>21</v>
      </c>
      <c r="E63" s="8">
        <v>1</v>
      </c>
      <c r="F63" s="16">
        <f t="shared" si="11"/>
        <v>32.5</v>
      </c>
      <c r="G63" s="16">
        <v>1.75</v>
      </c>
      <c r="H63" s="16">
        <v>0.1</v>
      </c>
      <c r="I63" s="37">
        <f t="shared" si="12"/>
        <v>5.6875</v>
      </c>
      <c r="J63" s="16" t="s">
        <v>23</v>
      </c>
      <c r="K63" s="50"/>
    </row>
    <row r="64" spans="1:12" x14ac:dyDescent="0.3">
      <c r="A64" s="8"/>
      <c r="B64" s="18" t="s">
        <v>17</v>
      </c>
      <c r="C64" s="8" t="s">
        <v>19</v>
      </c>
      <c r="D64" s="8" t="s">
        <v>21</v>
      </c>
      <c r="E64" s="8">
        <v>1</v>
      </c>
      <c r="F64" s="16">
        <f t="shared" si="11"/>
        <v>32.5</v>
      </c>
      <c r="G64" s="16">
        <v>1.75</v>
      </c>
      <c r="H64" s="16">
        <v>0.1</v>
      </c>
      <c r="I64" s="37">
        <f t="shared" si="12"/>
        <v>5.6875</v>
      </c>
      <c r="J64" s="16" t="s">
        <v>23</v>
      </c>
      <c r="K64" s="84">
        <f>SUM(I59:I64)</f>
        <v>34.125</v>
      </c>
    </row>
    <row r="65" spans="1:13" x14ac:dyDescent="0.3">
      <c r="A65" s="11">
        <v>9</v>
      </c>
      <c r="B65" s="27" t="s">
        <v>31</v>
      </c>
      <c r="C65" s="14"/>
      <c r="D65" s="14"/>
      <c r="E65" s="14"/>
      <c r="F65" s="14"/>
      <c r="G65" s="14"/>
      <c r="H65" s="14"/>
      <c r="I65" s="39"/>
      <c r="J65" s="14"/>
      <c r="K65" s="70"/>
    </row>
    <row r="66" spans="1:13" x14ac:dyDescent="0.3">
      <c r="A66" s="16"/>
      <c r="B66" s="15" t="s">
        <v>12</v>
      </c>
      <c r="C66" s="16" t="s">
        <v>19</v>
      </c>
      <c r="D66" s="16" t="s">
        <v>20</v>
      </c>
      <c r="E66" s="16">
        <v>1</v>
      </c>
      <c r="F66" s="16">
        <f>25+7.5</f>
        <v>32.5</v>
      </c>
      <c r="G66" s="16">
        <v>1.75</v>
      </c>
      <c r="H66" s="16"/>
      <c r="I66" s="36">
        <f>PRODUCT(E66:H66)</f>
        <v>56.875</v>
      </c>
      <c r="J66" s="16" t="s">
        <v>29</v>
      </c>
      <c r="K66" s="72"/>
    </row>
    <row r="67" spans="1:13" x14ac:dyDescent="0.3">
      <c r="A67" s="8"/>
      <c r="B67" s="18" t="s">
        <v>13</v>
      </c>
      <c r="C67" s="8" t="s">
        <v>19</v>
      </c>
      <c r="D67" s="8" t="s">
        <v>20</v>
      </c>
      <c r="E67" s="8">
        <v>1</v>
      </c>
      <c r="F67" s="16">
        <f t="shared" ref="F67:F71" si="13">25+7.5</f>
        <v>32.5</v>
      </c>
      <c r="G67" s="16">
        <v>1.75</v>
      </c>
      <c r="H67" s="16"/>
      <c r="I67" s="37">
        <f t="shared" ref="I67:I71" si="14">PRODUCT(E67:H67)</f>
        <v>56.875</v>
      </c>
      <c r="J67" s="16" t="s">
        <v>29</v>
      </c>
      <c r="K67" s="50"/>
    </row>
    <row r="68" spans="1:13" x14ac:dyDescent="0.3">
      <c r="A68" s="8"/>
      <c r="B68" s="18" t="s">
        <v>14</v>
      </c>
      <c r="C68" s="8" t="s">
        <v>19</v>
      </c>
      <c r="D68" s="8" t="s">
        <v>20</v>
      </c>
      <c r="E68" s="8">
        <v>1</v>
      </c>
      <c r="F68" s="16">
        <f t="shared" si="13"/>
        <v>32.5</v>
      </c>
      <c r="G68" s="16">
        <v>1.75</v>
      </c>
      <c r="H68" s="16"/>
      <c r="I68" s="37">
        <f t="shared" si="14"/>
        <v>56.875</v>
      </c>
      <c r="J68" s="16" t="s">
        <v>29</v>
      </c>
      <c r="K68" s="50"/>
    </row>
    <row r="69" spans="1:13" x14ac:dyDescent="0.3">
      <c r="A69" s="8"/>
      <c r="B69" s="18" t="s">
        <v>15</v>
      </c>
      <c r="C69" s="8" t="s">
        <v>19</v>
      </c>
      <c r="D69" s="8" t="s">
        <v>21</v>
      </c>
      <c r="E69" s="8">
        <v>1</v>
      </c>
      <c r="F69" s="16">
        <f t="shared" si="13"/>
        <v>32.5</v>
      </c>
      <c r="G69" s="16">
        <v>1.75</v>
      </c>
      <c r="H69" s="16"/>
      <c r="I69" s="37">
        <f t="shared" si="14"/>
        <v>56.875</v>
      </c>
      <c r="J69" s="16" t="s">
        <v>29</v>
      </c>
      <c r="K69" s="50"/>
    </row>
    <row r="70" spans="1:13" x14ac:dyDescent="0.3">
      <c r="A70" s="8"/>
      <c r="B70" s="18" t="s">
        <v>16</v>
      </c>
      <c r="C70" s="8" t="s">
        <v>19</v>
      </c>
      <c r="D70" s="8" t="s">
        <v>21</v>
      </c>
      <c r="E70" s="8">
        <v>1</v>
      </c>
      <c r="F70" s="16">
        <f t="shared" si="13"/>
        <v>32.5</v>
      </c>
      <c r="G70" s="16">
        <v>1.75</v>
      </c>
      <c r="H70" s="16"/>
      <c r="I70" s="37">
        <f t="shared" si="14"/>
        <v>56.875</v>
      </c>
      <c r="J70" s="16" t="s">
        <v>29</v>
      </c>
      <c r="K70" s="50"/>
    </row>
    <row r="71" spans="1:13" x14ac:dyDescent="0.3">
      <c r="A71" s="8"/>
      <c r="B71" s="18" t="s">
        <v>17</v>
      </c>
      <c r="C71" s="8" t="s">
        <v>19</v>
      </c>
      <c r="D71" s="8" t="s">
        <v>21</v>
      </c>
      <c r="E71" s="8">
        <v>1</v>
      </c>
      <c r="F71" s="16">
        <f t="shared" si="13"/>
        <v>32.5</v>
      </c>
      <c r="G71" s="16">
        <v>1.75</v>
      </c>
      <c r="H71" s="16"/>
      <c r="I71" s="37">
        <f t="shared" si="14"/>
        <v>56.875</v>
      </c>
      <c r="J71" s="16" t="s">
        <v>29</v>
      </c>
      <c r="K71" s="50"/>
    </row>
    <row r="72" spans="1:13" x14ac:dyDescent="0.3">
      <c r="A72" s="8"/>
      <c r="B72" s="28" t="s">
        <v>86</v>
      </c>
      <c r="C72" s="8" t="s">
        <v>19</v>
      </c>
      <c r="D72" s="8" t="s">
        <v>20</v>
      </c>
      <c r="E72" s="8">
        <v>2</v>
      </c>
      <c r="F72" s="8">
        <v>6.5</v>
      </c>
      <c r="G72" s="8">
        <v>1.5</v>
      </c>
      <c r="H72" s="8"/>
      <c r="I72" s="37">
        <f>PRODUCT(E72:H72)</f>
        <v>19.5</v>
      </c>
      <c r="J72" s="16" t="s">
        <v>29</v>
      </c>
      <c r="K72" s="84">
        <f>SUM(I66:I72)</f>
        <v>360.75</v>
      </c>
      <c r="M72" s="42"/>
    </row>
    <row r="73" spans="1:13" x14ac:dyDescent="0.3">
      <c r="A73" s="11">
        <v>10</v>
      </c>
      <c r="B73" s="27" t="s">
        <v>32</v>
      </c>
      <c r="C73" s="14"/>
      <c r="D73" s="14"/>
      <c r="E73" s="14"/>
      <c r="F73" s="14"/>
      <c r="G73" s="14"/>
      <c r="H73" s="14"/>
      <c r="I73" s="39"/>
      <c r="J73" s="14"/>
      <c r="K73" s="70"/>
    </row>
    <row r="74" spans="1:13" x14ac:dyDescent="0.3">
      <c r="A74" s="16"/>
      <c r="B74" s="18" t="s">
        <v>12</v>
      </c>
      <c r="C74" s="8" t="s">
        <v>19</v>
      </c>
      <c r="D74" s="8" t="s">
        <v>20</v>
      </c>
      <c r="E74" s="8">
        <v>1</v>
      </c>
      <c r="F74" s="8">
        <v>1.45</v>
      </c>
      <c r="G74" s="8">
        <v>1.35</v>
      </c>
      <c r="H74" s="8"/>
      <c r="I74" s="37">
        <f>PRODUCT(E74:H74)</f>
        <v>1.9575</v>
      </c>
      <c r="J74" s="8" t="s">
        <v>29</v>
      </c>
      <c r="K74" s="72"/>
    </row>
    <row r="75" spans="1:13" x14ac:dyDescent="0.3">
      <c r="A75" s="8"/>
      <c r="B75" s="18" t="s">
        <v>13</v>
      </c>
      <c r="C75" s="8" t="s">
        <v>19</v>
      </c>
      <c r="D75" s="8" t="s">
        <v>20</v>
      </c>
      <c r="E75" s="8">
        <v>1</v>
      </c>
      <c r="F75" s="8">
        <v>1.45</v>
      </c>
      <c r="G75" s="8">
        <v>1.35</v>
      </c>
      <c r="H75" s="8"/>
      <c r="I75" s="37">
        <f t="shared" ref="I75:I81" si="15">PRODUCT(E75:H75)</f>
        <v>1.9575</v>
      </c>
      <c r="J75" s="8" t="s">
        <v>29</v>
      </c>
      <c r="K75" s="50"/>
    </row>
    <row r="76" spans="1:13" x14ac:dyDescent="0.3">
      <c r="A76" s="8"/>
      <c r="B76" s="18" t="s">
        <v>14</v>
      </c>
      <c r="C76" s="8" t="s">
        <v>19</v>
      </c>
      <c r="D76" s="8" t="s">
        <v>20</v>
      </c>
      <c r="E76" s="8">
        <v>1</v>
      </c>
      <c r="F76" s="8">
        <v>1.45</v>
      </c>
      <c r="G76" s="8">
        <v>1.35</v>
      </c>
      <c r="H76" s="8"/>
      <c r="I76" s="37">
        <f t="shared" si="15"/>
        <v>1.9575</v>
      </c>
      <c r="J76" s="8" t="s">
        <v>29</v>
      </c>
      <c r="K76" s="50"/>
    </row>
    <row r="77" spans="1:13" x14ac:dyDescent="0.3">
      <c r="A77" s="8"/>
      <c r="B77" s="18" t="s">
        <v>25</v>
      </c>
      <c r="C77" s="8" t="s">
        <v>19</v>
      </c>
      <c r="D77" s="8" t="s">
        <v>26</v>
      </c>
      <c r="E77" s="8">
        <v>1</v>
      </c>
      <c r="F77" s="8">
        <v>6.5</v>
      </c>
      <c r="G77" s="8">
        <v>4.25</v>
      </c>
      <c r="H77" s="8"/>
      <c r="I77" s="37">
        <f t="shared" si="15"/>
        <v>27.625</v>
      </c>
      <c r="J77" s="8" t="s">
        <v>29</v>
      </c>
      <c r="K77" s="50"/>
      <c r="L77">
        <v>3.25</v>
      </c>
    </row>
    <row r="78" spans="1:13" x14ac:dyDescent="0.3">
      <c r="A78" s="8"/>
      <c r="B78" s="18" t="s">
        <v>15</v>
      </c>
      <c r="C78" s="8" t="s">
        <v>19</v>
      </c>
      <c r="D78" s="8" t="s">
        <v>21</v>
      </c>
      <c r="E78" s="8">
        <v>1</v>
      </c>
      <c r="F78" s="8">
        <v>1.45</v>
      </c>
      <c r="G78" s="8">
        <v>1.35</v>
      </c>
      <c r="H78" s="8"/>
      <c r="I78" s="37">
        <f t="shared" si="15"/>
        <v>1.9575</v>
      </c>
      <c r="J78" s="8" t="s">
        <v>29</v>
      </c>
      <c r="K78" s="50"/>
    </row>
    <row r="79" spans="1:13" x14ac:dyDescent="0.3">
      <c r="A79" s="8"/>
      <c r="B79" s="18" t="s">
        <v>16</v>
      </c>
      <c r="C79" s="8" t="s">
        <v>19</v>
      </c>
      <c r="D79" s="8" t="s">
        <v>21</v>
      </c>
      <c r="E79" s="8">
        <v>1</v>
      </c>
      <c r="F79" s="8">
        <v>1.45</v>
      </c>
      <c r="G79" s="8">
        <v>1.35</v>
      </c>
      <c r="H79" s="8"/>
      <c r="I79" s="37">
        <f t="shared" si="15"/>
        <v>1.9575</v>
      </c>
      <c r="J79" s="8" t="s">
        <v>29</v>
      </c>
      <c r="K79" s="50"/>
    </row>
    <row r="80" spans="1:13" x14ac:dyDescent="0.3">
      <c r="A80" s="8"/>
      <c r="B80" s="18" t="s">
        <v>17</v>
      </c>
      <c r="C80" s="8" t="s">
        <v>19</v>
      </c>
      <c r="D80" s="8" t="s">
        <v>21</v>
      </c>
      <c r="E80" s="8">
        <v>1</v>
      </c>
      <c r="F80" s="8">
        <v>1.45</v>
      </c>
      <c r="G80" s="8">
        <v>1.35</v>
      </c>
      <c r="H80" s="8"/>
      <c r="I80" s="37">
        <f t="shared" si="15"/>
        <v>1.9575</v>
      </c>
      <c r="J80" s="8" t="s">
        <v>29</v>
      </c>
      <c r="K80" s="50"/>
    </row>
    <row r="81" spans="1:13" x14ac:dyDescent="0.3">
      <c r="A81" s="8"/>
      <c r="B81" s="18" t="s">
        <v>34</v>
      </c>
      <c r="C81" s="8" t="s">
        <v>19</v>
      </c>
      <c r="D81" s="8" t="s">
        <v>20</v>
      </c>
      <c r="E81" s="8">
        <v>1</v>
      </c>
      <c r="F81" s="8">
        <v>4.75</v>
      </c>
      <c r="G81" s="8">
        <v>3.55</v>
      </c>
      <c r="H81" s="8"/>
      <c r="I81" s="37">
        <f t="shared" si="15"/>
        <v>16.862500000000001</v>
      </c>
      <c r="J81" s="8" t="s">
        <v>29</v>
      </c>
      <c r="K81" s="74"/>
    </row>
    <row r="82" spans="1:13" x14ac:dyDescent="0.3">
      <c r="A82" s="8"/>
      <c r="B82" s="18" t="s">
        <v>38</v>
      </c>
      <c r="C82" s="8" t="s">
        <v>19</v>
      </c>
      <c r="D82" s="8" t="s">
        <v>20</v>
      </c>
      <c r="E82" s="8">
        <v>1</v>
      </c>
      <c r="F82" s="8"/>
      <c r="G82" s="8"/>
      <c r="H82" s="8"/>
      <c r="I82" s="37">
        <f>'Toilet Block Drawing'!H48+'Toilet Block Drawing'!Q48</f>
        <v>289.24520000000001</v>
      </c>
      <c r="J82" s="8" t="s">
        <v>29</v>
      </c>
      <c r="K82" s="50"/>
    </row>
    <row r="83" spans="1:13" x14ac:dyDescent="0.3">
      <c r="A83" s="8"/>
      <c r="B83" s="29" t="s">
        <v>87</v>
      </c>
      <c r="C83" s="8" t="s">
        <v>19</v>
      </c>
      <c r="D83" s="8" t="s">
        <v>20</v>
      </c>
      <c r="E83" s="8">
        <v>1</v>
      </c>
      <c r="F83" s="8"/>
      <c r="G83" s="8"/>
      <c r="H83" s="8"/>
      <c r="I83" s="37">
        <f>'Toilet Block Drawing'!H54+'Toilet Block Drawing'!Q54</f>
        <v>19.799999999999997</v>
      </c>
      <c r="J83" s="8" t="s">
        <v>29</v>
      </c>
      <c r="K83" s="50"/>
    </row>
    <row r="84" spans="1:13" x14ac:dyDescent="0.3">
      <c r="A84" s="8"/>
      <c r="B84" s="29" t="s">
        <v>105</v>
      </c>
      <c r="C84" s="8" t="s">
        <v>19</v>
      </c>
      <c r="D84" s="8" t="s">
        <v>20</v>
      </c>
      <c r="E84" s="8">
        <v>1</v>
      </c>
      <c r="F84" s="8"/>
      <c r="G84" s="8"/>
      <c r="H84" s="8"/>
      <c r="I84" s="37">
        <v>48.5</v>
      </c>
      <c r="J84" s="8" t="s">
        <v>29</v>
      </c>
      <c r="K84" s="84">
        <f>SUM(I74:I84)</f>
        <v>413.77770000000004</v>
      </c>
      <c r="M84">
        <f>3.65*3.65</f>
        <v>13.3225</v>
      </c>
    </row>
    <row r="85" spans="1:13" x14ac:dyDescent="0.3">
      <c r="A85" s="11">
        <v>11</v>
      </c>
      <c r="B85" s="27" t="s">
        <v>33</v>
      </c>
      <c r="C85" s="14"/>
      <c r="D85" s="14"/>
      <c r="E85" s="14"/>
      <c r="F85" s="14"/>
      <c r="G85" s="14"/>
      <c r="H85" s="14"/>
      <c r="I85" s="39"/>
      <c r="J85" s="14"/>
      <c r="K85" s="70"/>
      <c r="M85">
        <f>3.65*4*2.4</f>
        <v>35.04</v>
      </c>
    </row>
    <row r="86" spans="1:13" x14ac:dyDescent="0.3">
      <c r="A86" s="16"/>
      <c r="B86" s="15" t="s">
        <v>12</v>
      </c>
      <c r="C86" s="16" t="s">
        <v>19</v>
      </c>
      <c r="D86" s="16" t="s">
        <v>20</v>
      </c>
      <c r="E86" s="16">
        <v>1</v>
      </c>
      <c r="F86" s="16">
        <v>0.75</v>
      </c>
      <c r="G86" s="16">
        <v>0.75</v>
      </c>
      <c r="H86" s="16"/>
      <c r="I86" s="36">
        <f>E86</f>
        <v>1</v>
      </c>
      <c r="J86" s="16" t="s">
        <v>22</v>
      </c>
      <c r="K86" s="72"/>
    </row>
    <row r="87" spans="1:13" x14ac:dyDescent="0.3">
      <c r="A87" s="8"/>
      <c r="B87" s="18" t="s">
        <v>13</v>
      </c>
      <c r="C87" s="8" t="s">
        <v>19</v>
      </c>
      <c r="D87" s="8" t="s">
        <v>20</v>
      </c>
      <c r="E87" s="8">
        <v>1</v>
      </c>
      <c r="F87" s="16">
        <v>0.75</v>
      </c>
      <c r="G87" s="16">
        <v>0.75</v>
      </c>
      <c r="H87" s="16"/>
      <c r="I87" s="36">
        <f t="shared" ref="I87:I92" si="16">E87</f>
        <v>1</v>
      </c>
      <c r="J87" s="16" t="s">
        <v>22</v>
      </c>
      <c r="K87" s="50"/>
    </row>
    <row r="88" spans="1:13" x14ac:dyDescent="0.3">
      <c r="A88" s="8"/>
      <c r="B88" s="18" t="s">
        <v>14</v>
      </c>
      <c r="C88" s="8" t="s">
        <v>19</v>
      </c>
      <c r="D88" s="8" t="s">
        <v>20</v>
      </c>
      <c r="E88" s="8">
        <v>1</v>
      </c>
      <c r="F88" s="16">
        <v>0.75</v>
      </c>
      <c r="G88" s="16">
        <v>0.75</v>
      </c>
      <c r="H88" s="16"/>
      <c r="I88" s="36">
        <f t="shared" si="16"/>
        <v>1</v>
      </c>
      <c r="J88" s="16" t="s">
        <v>22</v>
      </c>
      <c r="K88" s="50"/>
    </row>
    <row r="89" spans="1:13" x14ac:dyDescent="0.3">
      <c r="A89" s="8"/>
      <c r="B89" s="18" t="s">
        <v>25</v>
      </c>
      <c r="C89" s="8" t="s">
        <v>19</v>
      </c>
      <c r="D89" s="8" t="s">
        <v>26</v>
      </c>
      <c r="E89" s="8">
        <v>2</v>
      </c>
      <c r="F89" s="16">
        <v>1</v>
      </c>
      <c r="G89" s="16">
        <v>1</v>
      </c>
      <c r="H89" s="8"/>
      <c r="I89" s="36">
        <f t="shared" si="16"/>
        <v>2</v>
      </c>
      <c r="J89" s="16" t="s">
        <v>22</v>
      </c>
      <c r="K89" s="50"/>
    </row>
    <row r="90" spans="1:13" x14ac:dyDescent="0.3">
      <c r="A90" s="8"/>
      <c r="B90" s="18" t="s">
        <v>15</v>
      </c>
      <c r="C90" s="8" t="s">
        <v>19</v>
      </c>
      <c r="D90" s="8" t="s">
        <v>21</v>
      </c>
      <c r="E90" s="8">
        <v>1</v>
      </c>
      <c r="F90" s="16">
        <v>0.75</v>
      </c>
      <c r="G90" s="16">
        <v>0.75</v>
      </c>
      <c r="H90" s="16"/>
      <c r="I90" s="36">
        <f t="shared" si="16"/>
        <v>1</v>
      </c>
      <c r="J90" s="16" t="s">
        <v>22</v>
      </c>
      <c r="K90" s="50"/>
    </row>
    <row r="91" spans="1:13" x14ac:dyDescent="0.3">
      <c r="A91" s="8"/>
      <c r="B91" s="18" t="s">
        <v>16</v>
      </c>
      <c r="C91" s="8" t="s">
        <v>19</v>
      </c>
      <c r="D91" s="8" t="s">
        <v>21</v>
      </c>
      <c r="E91" s="8">
        <v>1</v>
      </c>
      <c r="F91" s="16">
        <v>0.75</v>
      </c>
      <c r="G91" s="16">
        <v>0.75</v>
      </c>
      <c r="H91" s="16"/>
      <c r="I91" s="36">
        <f t="shared" si="16"/>
        <v>1</v>
      </c>
      <c r="J91" s="16" t="s">
        <v>22</v>
      </c>
      <c r="K91" s="50"/>
    </row>
    <row r="92" spans="1:13" x14ac:dyDescent="0.3">
      <c r="A92" s="8"/>
      <c r="B92" s="18" t="s">
        <v>17</v>
      </c>
      <c r="C92" s="8" t="s">
        <v>19</v>
      </c>
      <c r="D92" s="8" t="s">
        <v>21</v>
      </c>
      <c r="E92" s="8">
        <v>1</v>
      </c>
      <c r="F92" s="16">
        <v>0.75</v>
      </c>
      <c r="G92" s="16">
        <v>0.75</v>
      </c>
      <c r="H92" s="16"/>
      <c r="I92" s="36">
        <f t="shared" si="16"/>
        <v>1</v>
      </c>
      <c r="J92" s="16" t="s">
        <v>22</v>
      </c>
      <c r="K92" s="84">
        <f>SUM(I86:I92)</f>
        <v>8</v>
      </c>
    </row>
    <row r="93" spans="1:13" x14ac:dyDescent="0.3">
      <c r="A93" s="11">
        <v>12</v>
      </c>
      <c r="B93" s="27" t="s">
        <v>39</v>
      </c>
      <c r="C93" s="14"/>
      <c r="D93" s="14"/>
      <c r="E93" s="14"/>
      <c r="F93" s="14"/>
      <c r="G93" s="14"/>
      <c r="H93" s="14"/>
      <c r="I93" s="39"/>
      <c r="J93" s="14"/>
      <c r="K93" s="70"/>
    </row>
    <row r="94" spans="1:13" x14ac:dyDescent="0.3">
      <c r="A94" s="16"/>
      <c r="B94" s="15" t="s">
        <v>12</v>
      </c>
      <c r="C94" s="16" t="s">
        <v>19</v>
      </c>
      <c r="D94" s="16" t="s">
        <v>20</v>
      </c>
      <c r="E94" s="16">
        <v>2</v>
      </c>
      <c r="F94" s="16">
        <f>1.35+1.25+1.35+1.25</f>
        <v>5.2</v>
      </c>
      <c r="G94" s="16">
        <v>3.25</v>
      </c>
      <c r="H94" s="16"/>
      <c r="I94" s="37">
        <f>PRODUCT(E94:H94)-(2*1.5*1.4)-(1.5*0.9)-(0.75*3.2)</f>
        <v>25.85</v>
      </c>
      <c r="J94" s="16" t="s">
        <v>29</v>
      </c>
      <c r="K94" s="72"/>
    </row>
    <row r="95" spans="1:13" x14ac:dyDescent="0.3">
      <c r="A95" s="8"/>
      <c r="B95" s="18" t="s">
        <v>13</v>
      </c>
      <c r="C95" s="8" t="s">
        <v>19</v>
      </c>
      <c r="D95" s="8" t="s">
        <v>20</v>
      </c>
      <c r="E95" s="8">
        <v>2</v>
      </c>
      <c r="F95" s="16">
        <f t="shared" ref="F95:F100" si="17">1.35+1.25+1.35+1.25</f>
        <v>5.2</v>
      </c>
      <c r="G95" s="16">
        <v>3.25</v>
      </c>
      <c r="H95" s="16"/>
      <c r="I95" s="37">
        <f>PRODUCT(E95:H95)-(2*1.5*1.4)-(1.5*0.9)-(0.75*3.2)</f>
        <v>25.85</v>
      </c>
      <c r="J95" s="16" t="s">
        <v>29</v>
      </c>
      <c r="K95" s="50"/>
    </row>
    <row r="96" spans="1:13" x14ac:dyDescent="0.3">
      <c r="A96" s="8"/>
      <c r="B96" s="18" t="s">
        <v>14</v>
      </c>
      <c r="C96" s="8" t="s">
        <v>19</v>
      </c>
      <c r="D96" s="8" t="s">
        <v>20</v>
      </c>
      <c r="E96" s="8">
        <v>2</v>
      </c>
      <c r="F96" s="16">
        <f t="shared" si="17"/>
        <v>5.2</v>
      </c>
      <c r="G96" s="16">
        <v>3.25</v>
      </c>
      <c r="H96" s="16"/>
      <c r="I96" s="37">
        <f>PRODUCT(E96:H96)-(2*1.5*1.4)-(1.5*0.9)-(0.75*3.2)</f>
        <v>25.85</v>
      </c>
      <c r="J96" s="16" t="s">
        <v>29</v>
      </c>
      <c r="K96" s="50"/>
    </row>
    <row r="97" spans="1:12" x14ac:dyDescent="0.3">
      <c r="A97" s="8"/>
      <c r="B97" s="18" t="s">
        <v>25</v>
      </c>
      <c r="C97" s="8" t="s">
        <v>19</v>
      </c>
      <c r="D97" s="8" t="s">
        <v>26</v>
      </c>
      <c r="E97" s="8">
        <v>1</v>
      </c>
      <c r="F97" s="16">
        <f>6.85+4.5+6.8+4.5</f>
        <v>22.65</v>
      </c>
      <c r="G97" s="16">
        <v>3.25</v>
      </c>
      <c r="H97" s="8"/>
      <c r="I97" s="37">
        <f>PRODUCT(E97:H97)-(1.5*2)-(1.9*2)-(1.4*3)-(2.05*0.85)</f>
        <v>60.87</v>
      </c>
      <c r="J97" s="16" t="s">
        <v>29</v>
      </c>
      <c r="K97" s="50"/>
    </row>
    <row r="98" spans="1:12" x14ac:dyDescent="0.3">
      <c r="A98" s="8"/>
      <c r="B98" s="18" t="s">
        <v>15</v>
      </c>
      <c r="C98" s="8" t="s">
        <v>19</v>
      </c>
      <c r="D98" s="8" t="s">
        <v>21</v>
      </c>
      <c r="E98" s="8">
        <v>2</v>
      </c>
      <c r="F98" s="16">
        <f t="shared" si="17"/>
        <v>5.2</v>
      </c>
      <c r="G98" s="16">
        <v>3.25</v>
      </c>
      <c r="H98" s="16"/>
      <c r="I98" s="37">
        <f>PRODUCT(E98:H98)-(2*1.5*1.4)-(1.5*0.9)-(0.75*3.2)</f>
        <v>25.85</v>
      </c>
      <c r="J98" s="16" t="s">
        <v>29</v>
      </c>
      <c r="K98" s="50"/>
    </row>
    <row r="99" spans="1:12" x14ac:dyDescent="0.3">
      <c r="A99" s="8"/>
      <c r="B99" s="18" t="s">
        <v>16</v>
      </c>
      <c r="C99" s="8" t="s">
        <v>19</v>
      </c>
      <c r="D99" s="8" t="s">
        <v>21</v>
      </c>
      <c r="E99" s="8">
        <v>2</v>
      </c>
      <c r="F99" s="16">
        <f t="shared" si="17"/>
        <v>5.2</v>
      </c>
      <c r="G99" s="16">
        <v>3.25</v>
      </c>
      <c r="H99" s="16"/>
      <c r="I99" s="37">
        <f>PRODUCT(E99:H99)-(2*1.5*1.4)-(1.5*0.9)-(0.75*3.2)</f>
        <v>25.85</v>
      </c>
      <c r="J99" s="16" t="s">
        <v>29</v>
      </c>
      <c r="K99" s="50"/>
    </row>
    <row r="100" spans="1:12" x14ac:dyDescent="0.3">
      <c r="A100" s="8"/>
      <c r="B100" s="18" t="s">
        <v>17</v>
      </c>
      <c r="C100" s="8" t="s">
        <v>19</v>
      </c>
      <c r="D100" s="8" t="s">
        <v>21</v>
      </c>
      <c r="E100" s="8">
        <v>2</v>
      </c>
      <c r="F100" s="16">
        <f t="shared" si="17"/>
        <v>5.2</v>
      </c>
      <c r="G100" s="16">
        <v>3.25</v>
      </c>
      <c r="H100" s="16"/>
      <c r="I100" s="37">
        <f>PRODUCT(E100:H100)-(2*1.5*1.4)-(1.5*0.9)-(0.75*3.2)</f>
        <v>25.85</v>
      </c>
      <c r="J100" s="16" t="s">
        <v>29</v>
      </c>
      <c r="K100" s="50"/>
    </row>
    <row r="101" spans="1:12" x14ac:dyDescent="0.3">
      <c r="A101" s="8"/>
      <c r="B101" s="18" t="s">
        <v>40</v>
      </c>
      <c r="C101" s="8" t="s">
        <v>19</v>
      </c>
      <c r="D101" s="8" t="s">
        <v>21</v>
      </c>
      <c r="E101" s="8">
        <v>2</v>
      </c>
      <c r="F101" s="8">
        <f>18+5+18+5</f>
        <v>46</v>
      </c>
      <c r="G101" s="8">
        <v>3.5</v>
      </c>
      <c r="H101" s="8"/>
      <c r="I101" s="37">
        <f>PRODUCT(E101:H101)</f>
        <v>322</v>
      </c>
      <c r="J101" s="16" t="s">
        <v>29</v>
      </c>
      <c r="K101" s="50"/>
    </row>
    <row r="102" spans="1:12" x14ac:dyDescent="0.3">
      <c r="A102" s="8"/>
      <c r="B102" s="18" t="s">
        <v>41</v>
      </c>
      <c r="C102" s="8" t="s">
        <v>19</v>
      </c>
      <c r="D102" s="8" t="s">
        <v>21</v>
      </c>
      <c r="E102" s="8">
        <v>4</v>
      </c>
      <c r="F102" s="8">
        <f>3.5+3.5+3.5+3.5</f>
        <v>14</v>
      </c>
      <c r="G102" s="8">
        <v>3.25</v>
      </c>
      <c r="H102" s="8"/>
      <c r="I102" s="37">
        <f>PRODUCT(E102:H102)</f>
        <v>182</v>
      </c>
      <c r="J102" s="16" t="s">
        <v>29</v>
      </c>
      <c r="K102" s="84">
        <f>SUM(I94:I102)</f>
        <v>719.97</v>
      </c>
    </row>
    <row r="103" spans="1:12" x14ac:dyDescent="0.3">
      <c r="A103" s="11">
        <v>13</v>
      </c>
      <c r="B103" s="27" t="s">
        <v>35</v>
      </c>
      <c r="C103" s="14"/>
      <c r="D103" s="14"/>
      <c r="E103" s="14"/>
      <c r="F103" s="14"/>
      <c r="G103" s="14"/>
      <c r="H103" s="14"/>
      <c r="I103" s="39"/>
      <c r="J103" s="14"/>
      <c r="K103" s="70"/>
    </row>
    <row r="104" spans="1:12" x14ac:dyDescent="0.3">
      <c r="A104" s="8"/>
      <c r="B104" s="18" t="s">
        <v>16</v>
      </c>
      <c r="C104" s="8" t="s">
        <v>19</v>
      </c>
      <c r="D104" s="8" t="s">
        <v>21</v>
      </c>
      <c r="E104" s="8">
        <v>2</v>
      </c>
      <c r="F104" s="16">
        <v>4.5</v>
      </c>
      <c r="G104" s="16">
        <v>4.5</v>
      </c>
      <c r="H104" s="85">
        <v>0.3</v>
      </c>
      <c r="I104" s="37">
        <f>PRODUCT(E104:H104)</f>
        <v>12.15</v>
      </c>
      <c r="J104" s="16" t="s">
        <v>23</v>
      </c>
      <c r="K104" s="50"/>
    </row>
    <row r="105" spans="1:12" x14ac:dyDescent="0.3">
      <c r="A105" s="8"/>
      <c r="B105" s="18" t="s">
        <v>17</v>
      </c>
      <c r="C105" s="8" t="s">
        <v>19</v>
      </c>
      <c r="D105" s="8" t="s">
        <v>21</v>
      </c>
      <c r="E105" s="8">
        <v>3</v>
      </c>
      <c r="F105" s="16">
        <v>4.5</v>
      </c>
      <c r="G105" s="16">
        <v>4.5</v>
      </c>
      <c r="H105" s="85">
        <v>0.3</v>
      </c>
      <c r="I105" s="37">
        <f>PRODUCT(E105:H105)</f>
        <v>18.224999999999998</v>
      </c>
      <c r="J105" s="16" t="s">
        <v>23</v>
      </c>
      <c r="K105" s="84">
        <f>SUM(I104:I105)</f>
        <v>30.375</v>
      </c>
    </row>
    <row r="106" spans="1:12" x14ac:dyDescent="0.3">
      <c r="A106" s="11">
        <v>14</v>
      </c>
      <c r="B106" s="27" t="s">
        <v>36</v>
      </c>
      <c r="C106" s="14"/>
      <c r="D106" s="14"/>
      <c r="E106" s="14"/>
      <c r="F106" s="14"/>
      <c r="G106" s="14"/>
      <c r="H106" s="85"/>
      <c r="I106" s="39"/>
      <c r="J106" s="14"/>
      <c r="K106" s="70"/>
    </row>
    <row r="107" spans="1:12" x14ac:dyDescent="0.3">
      <c r="A107" s="8"/>
      <c r="B107" s="18" t="s">
        <v>16</v>
      </c>
      <c r="C107" s="8" t="s">
        <v>19</v>
      </c>
      <c r="D107" s="8" t="s">
        <v>21</v>
      </c>
      <c r="E107" s="8">
        <v>2</v>
      </c>
      <c r="F107" s="16">
        <v>4.5</v>
      </c>
      <c r="G107" s="16">
        <v>4.5</v>
      </c>
      <c r="H107" s="85">
        <v>0.3</v>
      </c>
      <c r="I107" s="37">
        <f>PRODUCT(E107:H107)</f>
        <v>12.15</v>
      </c>
      <c r="J107" s="16" t="s">
        <v>23</v>
      </c>
      <c r="K107" s="50"/>
    </row>
    <row r="108" spans="1:12" x14ac:dyDescent="0.3">
      <c r="A108" s="8"/>
      <c r="B108" s="18" t="s">
        <v>17</v>
      </c>
      <c r="C108" s="8" t="s">
        <v>19</v>
      </c>
      <c r="D108" s="8" t="s">
        <v>21</v>
      </c>
      <c r="E108" s="8">
        <v>3</v>
      </c>
      <c r="F108" s="16">
        <v>4.5</v>
      </c>
      <c r="G108" s="16">
        <v>4.5</v>
      </c>
      <c r="H108" s="85">
        <v>0.3</v>
      </c>
      <c r="I108" s="37">
        <f>PRODUCT(E108:H108)</f>
        <v>18.224999999999998</v>
      </c>
      <c r="J108" s="16" t="s">
        <v>23</v>
      </c>
      <c r="K108" s="84">
        <f>SUM(I107:I108)</f>
        <v>30.375</v>
      </c>
    </row>
    <row r="109" spans="1:12" x14ac:dyDescent="0.3">
      <c r="A109" s="11">
        <v>15</v>
      </c>
      <c r="B109" s="27" t="s">
        <v>37</v>
      </c>
      <c r="C109" s="14"/>
      <c r="D109" s="14"/>
      <c r="E109" s="14"/>
      <c r="F109" s="14"/>
      <c r="G109" s="14"/>
      <c r="H109" s="14"/>
      <c r="I109" s="39"/>
      <c r="J109" s="14"/>
      <c r="K109" s="70"/>
    </row>
    <row r="110" spans="1:12" x14ac:dyDescent="0.3">
      <c r="A110" s="8"/>
      <c r="B110" s="29" t="s">
        <v>12</v>
      </c>
      <c r="C110" s="8" t="s">
        <v>19</v>
      </c>
      <c r="D110" s="8" t="s">
        <v>21</v>
      </c>
      <c r="E110" s="8">
        <v>1</v>
      </c>
      <c r="F110" s="16">
        <v>120</v>
      </c>
      <c r="G110" s="16">
        <v>2.5</v>
      </c>
      <c r="H110" s="85">
        <v>0.35</v>
      </c>
      <c r="I110" s="37">
        <f>PRODUCT(E110:H110)</f>
        <v>105</v>
      </c>
      <c r="J110" s="16" t="s">
        <v>23</v>
      </c>
      <c r="K110" s="50"/>
    </row>
    <row r="111" spans="1:12" x14ac:dyDescent="0.3">
      <c r="A111" s="8"/>
      <c r="B111" s="29" t="s">
        <v>17</v>
      </c>
      <c r="C111" s="8" t="s">
        <v>19</v>
      </c>
      <c r="D111" s="8" t="s">
        <v>21</v>
      </c>
      <c r="E111" s="8">
        <v>1</v>
      </c>
      <c r="F111" s="16">
        <v>120</v>
      </c>
      <c r="G111" s="16">
        <v>2.5</v>
      </c>
      <c r="H111" s="85">
        <v>0.35</v>
      </c>
      <c r="I111" s="37">
        <f>PRODUCT(E111:H111)</f>
        <v>105</v>
      </c>
      <c r="J111" s="16" t="s">
        <v>23</v>
      </c>
      <c r="K111" s="84">
        <f>SUM(I110:I111)</f>
        <v>210</v>
      </c>
      <c r="L111">
        <f>250+150</f>
        <v>400</v>
      </c>
    </row>
    <row r="112" spans="1:12" x14ac:dyDescent="0.3">
      <c r="A112" s="11">
        <v>16</v>
      </c>
      <c r="B112" s="27" t="s">
        <v>112</v>
      </c>
      <c r="C112" s="14"/>
      <c r="D112" s="14"/>
      <c r="E112" s="14"/>
      <c r="F112" s="14"/>
      <c r="G112" s="14"/>
      <c r="H112" s="14"/>
      <c r="I112" s="39"/>
      <c r="J112" s="14"/>
      <c r="K112" s="70"/>
    </row>
    <row r="113" spans="1:12" x14ac:dyDescent="0.3">
      <c r="A113" s="8"/>
      <c r="B113" s="18" t="s">
        <v>12</v>
      </c>
      <c r="C113" s="8" t="s">
        <v>19</v>
      </c>
      <c r="D113" s="8" t="s">
        <v>21</v>
      </c>
      <c r="E113" s="8">
        <v>1</v>
      </c>
      <c r="F113" s="16">
        <f>F110</f>
        <v>120</v>
      </c>
      <c r="G113" s="16">
        <v>2.5</v>
      </c>
      <c r="H113" s="16">
        <v>0.15</v>
      </c>
      <c r="I113" s="37">
        <f>PRODUCT(E113:H113)</f>
        <v>45</v>
      </c>
      <c r="J113" s="16" t="s">
        <v>23</v>
      </c>
      <c r="K113" s="50"/>
    </row>
    <row r="114" spans="1:12" x14ac:dyDescent="0.3">
      <c r="A114" s="8"/>
      <c r="B114" s="18" t="s">
        <v>17</v>
      </c>
      <c r="C114" s="8" t="s">
        <v>19</v>
      </c>
      <c r="D114" s="8" t="s">
        <v>21</v>
      </c>
      <c r="E114" s="8">
        <v>1</v>
      </c>
      <c r="F114" s="16">
        <f>F113</f>
        <v>120</v>
      </c>
      <c r="G114" s="16">
        <v>2.5</v>
      </c>
      <c r="H114" s="16">
        <v>0.15</v>
      </c>
      <c r="I114" s="37">
        <f>PRODUCT(E114:H114)</f>
        <v>45</v>
      </c>
      <c r="J114" s="16" t="s">
        <v>23</v>
      </c>
      <c r="K114" s="50"/>
    </row>
    <row r="115" spans="1:12" x14ac:dyDescent="0.3">
      <c r="A115" s="8"/>
      <c r="B115" s="28" t="s">
        <v>90</v>
      </c>
      <c r="C115" s="8" t="s">
        <v>19</v>
      </c>
      <c r="D115" s="8" t="s">
        <v>26</v>
      </c>
      <c r="E115" s="8">
        <v>1</v>
      </c>
      <c r="F115" s="16"/>
      <c r="G115" s="16"/>
      <c r="H115" s="16"/>
      <c r="I115" s="37">
        <v>15</v>
      </c>
      <c r="J115" s="16" t="s">
        <v>23</v>
      </c>
      <c r="K115" s="84">
        <f>SUM(I113:I115)</f>
        <v>105</v>
      </c>
    </row>
    <row r="116" spans="1:12" x14ac:dyDescent="0.3">
      <c r="A116" s="11">
        <v>16</v>
      </c>
      <c r="B116" s="27" t="s">
        <v>109</v>
      </c>
      <c r="C116" s="14"/>
      <c r="D116" s="14"/>
      <c r="E116" s="14"/>
      <c r="F116" s="14"/>
      <c r="G116" s="14"/>
      <c r="H116" s="14"/>
      <c r="I116" s="39"/>
      <c r="J116" s="14"/>
      <c r="K116" s="70"/>
    </row>
    <row r="117" spans="1:12" x14ac:dyDescent="0.3">
      <c r="A117" s="8"/>
      <c r="B117" s="18" t="s">
        <v>12</v>
      </c>
      <c r="C117" s="8" t="s">
        <v>19</v>
      </c>
      <c r="D117" s="8" t="s">
        <v>21</v>
      </c>
      <c r="E117" s="8">
        <v>1</v>
      </c>
      <c r="F117" s="16">
        <f>F110</f>
        <v>120</v>
      </c>
      <c r="G117" s="16">
        <v>2.5</v>
      </c>
      <c r="H117" s="16">
        <v>0.2</v>
      </c>
      <c r="I117" s="37">
        <f>PRODUCT(E117:H117)</f>
        <v>60</v>
      </c>
      <c r="J117" s="16" t="s">
        <v>23</v>
      </c>
      <c r="K117" s="50"/>
    </row>
    <row r="118" spans="1:12" x14ac:dyDescent="0.3">
      <c r="A118" s="8"/>
      <c r="B118" s="18" t="s">
        <v>17</v>
      </c>
      <c r="C118" s="8" t="s">
        <v>19</v>
      </c>
      <c r="D118" s="8" t="s">
        <v>21</v>
      </c>
      <c r="E118" s="8">
        <v>1</v>
      </c>
      <c r="F118" s="16">
        <f>F117</f>
        <v>120</v>
      </c>
      <c r="G118" s="16">
        <v>2.5</v>
      </c>
      <c r="H118" s="16">
        <v>0.2</v>
      </c>
      <c r="I118" s="37">
        <f>PRODUCT(E118:H118)</f>
        <v>60</v>
      </c>
      <c r="J118" s="16" t="s">
        <v>23</v>
      </c>
      <c r="K118" s="50"/>
    </row>
    <row r="119" spans="1:12" x14ac:dyDescent="0.3">
      <c r="A119" s="8"/>
      <c r="B119" s="28" t="s">
        <v>90</v>
      </c>
      <c r="C119" s="8" t="s">
        <v>19</v>
      </c>
      <c r="D119" s="8" t="s">
        <v>26</v>
      </c>
      <c r="E119" s="8">
        <v>1</v>
      </c>
      <c r="F119" s="16"/>
      <c r="G119" s="16"/>
      <c r="H119" s="16"/>
      <c r="I119" s="37">
        <v>15</v>
      </c>
      <c r="J119" s="16" t="s">
        <v>23</v>
      </c>
      <c r="K119" s="84">
        <f>SUM(I117:I119)</f>
        <v>135</v>
      </c>
    </row>
    <row r="120" spans="1:12" x14ac:dyDescent="0.3">
      <c r="A120" s="11">
        <v>17</v>
      </c>
      <c r="B120" s="27" t="s">
        <v>175</v>
      </c>
      <c r="C120" s="14"/>
      <c r="D120" s="14"/>
      <c r="E120" s="14"/>
      <c r="F120" s="14"/>
      <c r="G120" s="14"/>
      <c r="H120" s="14"/>
      <c r="I120" s="39"/>
      <c r="J120" s="14"/>
      <c r="K120" s="70"/>
    </row>
    <row r="121" spans="1:12" x14ac:dyDescent="0.3">
      <c r="A121" s="8"/>
      <c r="B121" s="29"/>
      <c r="C121" s="8" t="s">
        <v>19</v>
      </c>
      <c r="D121" s="8" t="s">
        <v>21</v>
      </c>
      <c r="E121" s="8">
        <v>1</v>
      </c>
      <c r="F121" s="16">
        <v>100</v>
      </c>
      <c r="G121" s="16"/>
      <c r="H121" s="16"/>
      <c r="I121" s="37">
        <f>PRODUCT(E121:H121)</f>
        <v>100</v>
      </c>
      <c r="J121" s="16" t="s">
        <v>23</v>
      </c>
      <c r="K121" s="84">
        <f>I121</f>
        <v>100</v>
      </c>
      <c r="L121" s="8" t="s">
        <v>54</v>
      </c>
    </row>
    <row r="122" spans="1:12" x14ac:dyDescent="0.3">
      <c r="A122" s="11">
        <v>18</v>
      </c>
      <c r="B122" s="30" t="s">
        <v>88</v>
      </c>
      <c r="C122" s="11"/>
      <c r="D122" s="11"/>
      <c r="E122" s="11"/>
      <c r="F122" s="17"/>
      <c r="G122" s="17"/>
      <c r="H122" s="17"/>
      <c r="I122" s="41"/>
      <c r="J122" s="17"/>
      <c r="K122" s="69"/>
    </row>
    <row r="123" spans="1:12" x14ac:dyDescent="0.3">
      <c r="A123" s="8"/>
      <c r="B123" s="29" t="s">
        <v>89</v>
      </c>
      <c r="C123" s="8" t="s">
        <v>19</v>
      </c>
      <c r="D123" s="8" t="s">
        <v>20</v>
      </c>
      <c r="E123" s="8">
        <v>1</v>
      </c>
      <c r="F123" s="16">
        <v>18</v>
      </c>
      <c r="G123" s="16">
        <v>12</v>
      </c>
      <c r="H123" s="16"/>
      <c r="I123" s="37">
        <f>PRODUCT(E123:H123)</f>
        <v>216</v>
      </c>
      <c r="J123" s="16" t="s">
        <v>29</v>
      </c>
      <c r="K123" s="84">
        <f>I123</f>
        <v>216</v>
      </c>
    </row>
    <row r="124" spans="1:12" x14ac:dyDescent="0.3">
      <c r="A124" s="12">
        <v>19</v>
      </c>
      <c r="B124" s="13" t="s">
        <v>91</v>
      </c>
      <c r="C124" s="14"/>
      <c r="D124" s="14"/>
      <c r="E124" s="14"/>
      <c r="F124" s="14"/>
      <c r="G124" s="14"/>
      <c r="H124" s="14"/>
      <c r="I124" s="39"/>
      <c r="J124" s="14"/>
      <c r="K124" s="70"/>
    </row>
    <row r="125" spans="1:12" x14ac:dyDescent="0.3">
      <c r="A125" s="8"/>
      <c r="B125" s="29" t="s">
        <v>12</v>
      </c>
      <c r="C125" s="8" t="s">
        <v>19</v>
      </c>
      <c r="D125" s="8" t="s">
        <v>20</v>
      </c>
      <c r="E125" s="8">
        <v>1</v>
      </c>
      <c r="F125" s="8">
        <v>0.9</v>
      </c>
      <c r="G125" s="8">
        <v>2.1</v>
      </c>
      <c r="H125" s="8"/>
      <c r="I125" s="37">
        <f t="shared" ref="I125:I130" si="18">PRODUCT(E125:H125)</f>
        <v>1.8900000000000001</v>
      </c>
      <c r="J125" s="8" t="s">
        <v>29</v>
      </c>
      <c r="K125" s="50"/>
    </row>
    <row r="126" spans="1:12" x14ac:dyDescent="0.3">
      <c r="A126" s="8"/>
      <c r="B126" s="29" t="s">
        <v>13</v>
      </c>
      <c r="C126" s="8" t="s">
        <v>19</v>
      </c>
      <c r="D126" s="8" t="s">
        <v>20</v>
      </c>
      <c r="E126" s="8">
        <v>1</v>
      </c>
      <c r="F126" s="8">
        <v>0.9</v>
      </c>
      <c r="G126" s="8">
        <v>2.1</v>
      </c>
      <c r="H126" s="8"/>
      <c r="I126" s="37">
        <f t="shared" si="18"/>
        <v>1.8900000000000001</v>
      </c>
      <c r="J126" s="8" t="s">
        <v>29</v>
      </c>
      <c r="K126" s="50"/>
    </row>
    <row r="127" spans="1:12" x14ac:dyDescent="0.3">
      <c r="A127" s="8"/>
      <c r="B127" s="29" t="s">
        <v>14</v>
      </c>
      <c r="C127" s="8" t="s">
        <v>19</v>
      </c>
      <c r="D127" s="8" t="s">
        <v>20</v>
      </c>
      <c r="E127" s="8">
        <v>1</v>
      </c>
      <c r="F127" s="8">
        <v>0.9</v>
      </c>
      <c r="G127" s="8">
        <v>2.1</v>
      </c>
      <c r="H127" s="8"/>
      <c r="I127" s="37">
        <f t="shared" si="18"/>
        <v>1.8900000000000001</v>
      </c>
      <c r="J127" s="8" t="s">
        <v>29</v>
      </c>
      <c r="K127" s="50"/>
    </row>
    <row r="128" spans="1:12" x14ac:dyDescent="0.3">
      <c r="A128" s="8"/>
      <c r="B128" s="29" t="s">
        <v>25</v>
      </c>
      <c r="C128" s="8" t="s">
        <v>19</v>
      </c>
      <c r="D128" s="8" t="s">
        <v>20</v>
      </c>
      <c r="E128" s="8">
        <v>1</v>
      </c>
      <c r="F128" s="8">
        <v>0.9</v>
      </c>
      <c r="G128" s="8">
        <v>2.1</v>
      </c>
      <c r="H128" s="8"/>
      <c r="I128" s="37">
        <f t="shared" ref="I128" si="19">PRODUCT(E128:H128)</f>
        <v>1.8900000000000001</v>
      </c>
      <c r="J128" s="8" t="s">
        <v>29</v>
      </c>
      <c r="K128" s="50"/>
    </row>
    <row r="129" spans="1:11" x14ac:dyDescent="0.3">
      <c r="A129" s="8"/>
      <c r="B129" s="29" t="s">
        <v>15</v>
      </c>
      <c r="C129" s="8" t="s">
        <v>19</v>
      </c>
      <c r="D129" s="8" t="s">
        <v>21</v>
      </c>
      <c r="E129" s="8">
        <v>1</v>
      </c>
      <c r="F129" s="8">
        <v>0.9</v>
      </c>
      <c r="G129" s="8">
        <v>2.1</v>
      </c>
      <c r="H129" s="8"/>
      <c r="I129" s="37">
        <f t="shared" si="18"/>
        <v>1.8900000000000001</v>
      </c>
      <c r="J129" s="8" t="s">
        <v>29</v>
      </c>
      <c r="K129" s="50"/>
    </row>
    <row r="130" spans="1:11" x14ac:dyDescent="0.3">
      <c r="A130" s="8"/>
      <c r="B130" s="29" t="s">
        <v>16</v>
      </c>
      <c r="C130" s="8" t="s">
        <v>19</v>
      </c>
      <c r="D130" s="8" t="s">
        <v>21</v>
      </c>
      <c r="E130" s="8">
        <v>1</v>
      </c>
      <c r="F130" s="8">
        <v>0.9</v>
      </c>
      <c r="G130" s="8">
        <v>2.1</v>
      </c>
      <c r="H130" s="8"/>
      <c r="I130" s="37">
        <f t="shared" si="18"/>
        <v>1.8900000000000001</v>
      </c>
      <c r="J130" s="8" t="s">
        <v>29</v>
      </c>
      <c r="K130" s="50"/>
    </row>
    <row r="131" spans="1:11" x14ac:dyDescent="0.3">
      <c r="A131" s="8"/>
      <c r="B131" s="29" t="s">
        <v>17</v>
      </c>
      <c r="C131" s="8" t="s">
        <v>19</v>
      </c>
      <c r="D131" s="8" t="s">
        <v>21</v>
      </c>
      <c r="E131" s="8">
        <v>1</v>
      </c>
      <c r="F131" s="8">
        <v>0.9</v>
      </c>
      <c r="G131" s="8">
        <v>2.1</v>
      </c>
      <c r="H131" s="8"/>
      <c r="I131" s="37">
        <f>PRODUCT(E131:H131)</f>
        <v>1.8900000000000001</v>
      </c>
      <c r="J131" s="8" t="s">
        <v>29</v>
      </c>
      <c r="K131" s="50"/>
    </row>
    <row r="132" spans="1:11" x14ac:dyDescent="0.3">
      <c r="A132" s="12">
        <v>20</v>
      </c>
      <c r="B132" s="13" t="s">
        <v>92</v>
      </c>
      <c r="C132" s="14"/>
      <c r="D132" s="14"/>
      <c r="E132" s="14"/>
      <c r="F132" s="14"/>
      <c r="G132" s="14"/>
      <c r="H132" s="14"/>
      <c r="I132" s="39"/>
      <c r="J132" s="14"/>
      <c r="K132" s="70"/>
    </row>
    <row r="133" spans="1:11" x14ac:dyDescent="0.3">
      <c r="A133" s="8"/>
      <c r="B133" s="29" t="s">
        <v>12</v>
      </c>
      <c r="C133" s="8" t="s">
        <v>19</v>
      </c>
      <c r="D133" s="8" t="s">
        <v>20</v>
      </c>
      <c r="E133" s="8">
        <v>1</v>
      </c>
      <c r="F133" s="8">
        <v>1.5</v>
      </c>
      <c r="G133" s="8">
        <v>1.4</v>
      </c>
      <c r="H133" s="8"/>
      <c r="I133" s="37">
        <f t="shared" ref="I133:I134" si="20">PRODUCT(E133:H133)</f>
        <v>2.0999999999999996</v>
      </c>
      <c r="J133" s="8" t="s">
        <v>29</v>
      </c>
      <c r="K133" s="50"/>
    </row>
    <row r="134" spans="1:11" x14ac:dyDescent="0.3">
      <c r="A134" s="8"/>
      <c r="B134" s="29"/>
      <c r="C134" s="8"/>
      <c r="D134" s="8"/>
      <c r="E134" s="8">
        <v>1</v>
      </c>
      <c r="F134" s="8">
        <v>0.9</v>
      </c>
      <c r="G134" s="8">
        <v>1.5</v>
      </c>
      <c r="H134" s="8"/>
      <c r="I134" s="37">
        <f t="shared" si="20"/>
        <v>1.35</v>
      </c>
      <c r="J134" s="8" t="s">
        <v>29</v>
      </c>
      <c r="K134" s="50"/>
    </row>
    <row r="135" spans="1:11" x14ac:dyDescent="0.3">
      <c r="A135" s="8"/>
      <c r="B135" s="29" t="s">
        <v>13</v>
      </c>
      <c r="C135" s="8" t="s">
        <v>19</v>
      </c>
      <c r="D135" s="8" t="s">
        <v>20</v>
      </c>
      <c r="E135" s="8">
        <v>1</v>
      </c>
      <c r="F135" s="8">
        <v>1.5</v>
      </c>
      <c r="G135" s="8">
        <v>1.4</v>
      </c>
      <c r="H135" s="8"/>
      <c r="I135" s="37">
        <f t="shared" ref="I135:I146" si="21">PRODUCT(E135:H135)</f>
        <v>2.0999999999999996</v>
      </c>
      <c r="J135" s="8" t="s">
        <v>29</v>
      </c>
      <c r="K135" s="50"/>
    </row>
    <row r="136" spans="1:11" x14ac:dyDescent="0.3">
      <c r="A136" s="8"/>
      <c r="B136" s="29"/>
      <c r="C136" s="8"/>
      <c r="D136" s="8"/>
      <c r="E136" s="8">
        <v>1</v>
      </c>
      <c r="F136" s="8">
        <v>0.9</v>
      </c>
      <c r="G136" s="8">
        <v>1.5</v>
      </c>
      <c r="H136" s="8"/>
      <c r="I136" s="37">
        <f t="shared" si="21"/>
        <v>1.35</v>
      </c>
      <c r="J136" s="8" t="s">
        <v>29</v>
      </c>
      <c r="K136" s="50"/>
    </row>
    <row r="137" spans="1:11" x14ac:dyDescent="0.3">
      <c r="A137" s="8"/>
      <c r="B137" s="29" t="s">
        <v>14</v>
      </c>
      <c r="C137" s="8" t="s">
        <v>19</v>
      </c>
      <c r="D137" s="8" t="s">
        <v>20</v>
      </c>
      <c r="E137" s="8">
        <v>1</v>
      </c>
      <c r="F137" s="8">
        <v>1.5</v>
      </c>
      <c r="G137" s="8">
        <v>1.4</v>
      </c>
      <c r="H137" s="8"/>
      <c r="I137" s="37">
        <f t="shared" si="21"/>
        <v>2.0999999999999996</v>
      </c>
      <c r="J137" s="8" t="s">
        <v>29</v>
      </c>
      <c r="K137" s="50"/>
    </row>
    <row r="138" spans="1:11" x14ac:dyDescent="0.3">
      <c r="A138" s="8"/>
      <c r="B138" s="29"/>
      <c r="C138" s="8"/>
      <c r="D138" s="8"/>
      <c r="E138" s="8">
        <v>1</v>
      </c>
      <c r="F138" s="8">
        <v>0.9</v>
      </c>
      <c r="G138" s="8">
        <v>1.5</v>
      </c>
      <c r="H138" s="8"/>
      <c r="I138" s="37">
        <f t="shared" si="21"/>
        <v>1.35</v>
      </c>
      <c r="J138" s="8" t="s">
        <v>29</v>
      </c>
      <c r="K138" s="50"/>
    </row>
    <row r="139" spans="1:11" x14ac:dyDescent="0.3">
      <c r="A139" s="8"/>
      <c r="B139" s="29" t="s">
        <v>25</v>
      </c>
      <c r="C139" s="8" t="s">
        <v>19</v>
      </c>
      <c r="D139" s="8" t="s">
        <v>20</v>
      </c>
      <c r="E139" s="8">
        <v>1</v>
      </c>
      <c r="F139" s="8">
        <v>1.5</v>
      </c>
      <c r="G139" s="8">
        <v>1.4</v>
      </c>
      <c r="H139" s="8"/>
      <c r="I139" s="37">
        <f t="shared" si="21"/>
        <v>2.0999999999999996</v>
      </c>
      <c r="J139" s="8" t="s">
        <v>29</v>
      </c>
      <c r="K139" s="50"/>
    </row>
    <row r="140" spans="1:11" x14ac:dyDescent="0.3">
      <c r="A140" s="8"/>
      <c r="B140" s="29"/>
      <c r="C140" s="8"/>
      <c r="D140" s="8"/>
      <c r="E140" s="8">
        <v>1</v>
      </c>
      <c r="F140" s="8">
        <v>0.9</v>
      </c>
      <c r="G140" s="8">
        <v>1.5</v>
      </c>
      <c r="H140" s="8"/>
      <c r="I140" s="37">
        <f t="shared" si="21"/>
        <v>1.35</v>
      </c>
      <c r="J140" s="8" t="s">
        <v>29</v>
      </c>
      <c r="K140" s="50"/>
    </row>
    <row r="141" spans="1:11" x14ac:dyDescent="0.3">
      <c r="A141" s="8"/>
      <c r="B141" s="29" t="s">
        <v>15</v>
      </c>
      <c r="C141" s="8" t="s">
        <v>19</v>
      </c>
      <c r="D141" s="8" t="s">
        <v>21</v>
      </c>
      <c r="E141" s="8">
        <v>1</v>
      </c>
      <c r="F141" s="8">
        <v>1.5</v>
      </c>
      <c r="G141" s="8">
        <v>1.4</v>
      </c>
      <c r="H141" s="8"/>
      <c r="I141" s="37">
        <f t="shared" si="21"/>
        <v>2.0999999999999996</v>
      </c>
      <c r="J141" s="8" t="s">
        <v>29</v>
      </c>
      <c r="K141" s="50"/>
    </row>
    <row r="142" spans="1:11" x14ac:dyDescent="0.3">
      <c r="A142" s="8"/>
      <c r="B142" s="29"/>
      <c r="C142" s="8"/>
      <c r="D142" s="8"/>
      <c r="E142" s="8">
        <v>1</v>
      </c>
      <c r="F142" s="8">
        <v>0.9</v>
      </c>
      <c r="G142" s="8">
        <v>1.5</v>
      </c>
      <c r="H142" s="8"/>
      <c r="I142" s="37">
        <f t="shared" si="21"/>
        <v>1.35</v>
      </c>
      <c r="J142" s="8" t="s">
        <v>29</v>
      </c>
      <c r="K142" s="50"/>
    </row>
    <row r="143" spans="1:11" x14ac:dyDescent="0.3">
      <c r="A143" s="8"/>
      <c r="B143" s="29" t="s">
        <v>16</v>
      </c>
      <c r="C143" s="8" t="s">
        <v>19</v>
      </c>
      <c r="D143" s="8" t="s">
        <v>21</v>
      </c>
      <c r="E143" s="8">
        <v>1</v>
      </c>
      <c r="F143" s="8">
        <v>1.5</v>
      </c>
      <c r="G143" s="8">
        <v>1.4</v>
      </c>
      <c r="H143" s="8"/>
      <c r="I143" s="37">
        <f t="shared" si="21"/>
        <v>2.0999999999999996</v>
      </c>
      <c r="J143" s="8" t="s">
        <v>29</v>
      </c>
      <c r="K143" s="50"/>
    </row>
    <row r="144" spans="1:11" x14ac:dyDescent="0.3">
      <c r="A144" s="8"/>
      <c r="B144" s="29"/>
      <c r="C144" s="8"/>
      <c r="D144" s="8"/>
      <c r="E144" s="8">
        <v>1</v>
      </c>
      <c r="F144" s="8">
        <v>0.9</v>
      </c>
      <c r="G144" s="8">
        <v>1.5</v>
      </c>
      <c r="H144" s="8"/>
      <c r="I144" s="37">
        <f t="shared" si="21"/>
        <v>1.35</v>
      </c>
      <c r="J144" s="8" t="s">
        <v>29</v>
      </c>
      <c r="K144" s="50"/>
    </row>
    <row r="145" spans="1:11" x14ac:dyDescent="0.3">
      <c r="A145" s="8"/>
      <c r="B145" s="29" t="s">
        <v>17</v>
      </c>
      <c r="C145" s="8" t="s">
        <v>19</v>
      </c>
      <c r="D145" s="8" t="s">
        <v>21</v>
      </c>
      <c r="E145" s="8">
        <v>1</v>
      </c>
      <c r="F145" s="8">
        <v>1.5</v>
      </c>
      <c r="G145" s="8">
        <v>1.4</v>
      </c>
      <c r="H145" s="8"/>
      <c r="I145" s="37">
        <f t="shared" si="21"/>
        <v>2.0999999999999996</v>
      </c>
      <c r="J145" s="8" t="s">
        <v>29</v>
      </c>
      <c r="K145" s="50"/>
    </row>
    <row r="146" spans="1:11" x14ac:dyDescent="0.3">
      <c r="A146" s="24"/>
      <c r="B146" s="101"/>
      <c r="C146" s="8"/>
      <c r="D146" s="8"/>
      <c r="E146" s="8">
        <v>1</v>
      </c>
      <c r="F146" s="8">
        <v>0.9</v>
      </c>
      <c r="G146" s="8">
        <v>1.5</v>
      </c>
      <c r="H146" s="8"/>
      <c r="I146" s="37">
        <f t="shared" si="21"/>
        <v>1.35</v>
      </c>
      <c r="J146" s="8" t="s">
        <v>29</v>
      </c>
      <c r="K146" s="84">
        <f>SUM(I125:I146)</f>
        <v>37.380000000000017</v>
      </c>
    </row>
    <row r="147" spans="1:11" s="31" customFormat="1" x14ac:dyDescent="0.3">
      <c r="A147" s="99"/>
      <c r="B147" s="100"/>
      <c r="C147" s="96"/>
      <c r="D147" s="96"/>
      <c r="E147" s="96"/>
      <c r="F147" s="96"/>
      <c r="G147" s="96"/>
      <c r="H147" s="96"/>
      <c r="I147" s="97"/>
      <c r="J147" s="96"/>
      <c r="K147" s="98"/>
    </row>
    <row r="148" spans="1:11" x14ac:dyDescent="0.3">
      <c r="A148" s="24"/>
      <c r="B148" s="35" t="s">
        <v>40</v>
      </c>
      <c r="C148" s="8" t="s">
        <v>19</v>
      </c>
      <c r="D148" s="8" t="s">
        <v>20</v>
      </c>
      <c r="E148" s="8">
        <v>5</v>
      </c>
      <c r="F148" s="8">
        <v>0.9</v>
      </c>
      <c r="G148" s="8">
        <v>2.1</v>
      </c>
      <c r="H148" s="8"/>
      <c r="I148" s="37">
        <f>PRODUCT(E148:H148)</f>
        <v>9.4500000000000011</v>
      </c>
      <c r="J148" s="8" t="s">
        <v>29</v>
      </c>
      <c r="K148" s="84">
        <f>I148</f>
        <v>9.4500000000000011</v>
      </c>
    </row>
    <row r="149" spans="1:11" x14ac:dyDescent="0.3">
      <c r="A149" s="11"/>
      <c r="B149" s="43"/>
      <c r="C149" s="11"/>
      <c r="D149" s="11"/>
      <c r="E149" s="11"/>
      <c r="F149" s="11"/>
      <c r="G149" s="11"/>
      <c r="H149" s="11"/>
      <c r="I149" s="11"/>
      <c r="J149" s="11"/>
      <c r="K149" s="69"/>
    </row>
    <row r="150" spans="1:11" x14ac:dyDescent="0.3">
      <c r="A150" s="11">
        <v>21</v>
      </c>
      <c r="B150" s="43" t="s">
        <v>113</v>
      </c>
      <c r="C150" s="11"/>
      <c r="D150" s="11"/>
      <c r="E150" s="11"/>
      <c r="F150" s="11"/>
      <c r="G150" s="11"/>
      <c r="H150" s="11"/>
      <c r="I150" s="11"/>
      <c r="J150" s="11"/>
      <c r="K150" s="69"/>
    </row>
    <row r="151" spans="1:11" x14ac:dyDescent="0.3">
      <c r="A151" s="51" t="s">
        <v>118</v>
      </c>
      <c r="B151" s="44" t="s">
        <v>114</v>
      </c>
      <c r="C151" s="45"/>
      <c r="D151" s="45"/>
      <c r="E151" s="45"/>
      <c r="F151" s="45"/>
      <c r="G151" s="45"/>
      <c r="H151" s="46"/>
      <c r="I151" s="8"/>
      <c r="J151" s="11"/>
      <c r="K151" s="69"/>
    </row>
    <row r="152" spans="1:11" x14ac:dyDescent="0.3">
      <c r="A152" s="11"/>
      <c r="B152" s="47" t="s">
        <v>115</v>
      </c>
      <c r="C152" s="49"/>
      <c r="D152" s="45" t="s">
        <v>26</v>
      </c>
      <c r="E152" s="45">
        <f>ROUND(290/3,0)+1</f>
        <v>98</v>
      </c>
      <c r="F152" s="45">
        <v>1.2</v>
      </c>
      <c r="G152" s="45">
        <v>1.2</v>
      </c>
      <c r="H152" s="46">
        <v>1.2</v>
      </c>
      <c r="I152" s="50">
        <f>PRODUCT(E152:H152)</f>
        <v>169.34399999999997</v>
      </c>
      <c r="J152" s="45" t="s">
        <v>23</v>
      </c>
      <c r="K152" s="69"/>
    </row>
    <row r="153" spans="1:11" x14ac:dyDescent="0.3">
      <c r="A153" s="11"/>
      <c r="B153" s="47" t="s">
        <v>116</v>
      </c>
      <c r="C153" s="49"/>
      <c r="D153" s="45" t="s">
        <v>26</v>
      </c>
      <c r="E153" s="45">
        <v>1</v>
      </c>
      <c r="F153" s="45">
        <v>290</v>
      </c>
      <c r="G153" s="45">
        <v>0.25</v>
      </c>
      <c r="H153" s="46">
        <v>0.4</v>
      </c>
      <c r="I153" s="50">
        <f>PRODUCT(E153:H153)</f>
        <v>29</v>
      </c>
      <c r="J153" s="45" t="s">
        <v>23</v>
      </c>
      <c r="K153" s="69"/>
    </row>
    <row r="154" spans="1:11" x14ac:dyDescent="0.3">
      <c r="A154" s="11"/>
      <c r="B154" s="48" t="s">
        <v>117</v>
      </c>
      <c r="C154" s="49"/>
      <c r="D154" s="45"/>
      <c r="E154" s="45"/>
      <c r="F154" s="45"/>
      <c r="G154" s="45"/>
      <c r="H154" s="46"/>
      <c r="I154" s="8"/>
      <c r="J154" s="45"/>
      <c r="K154" s="69"/>
    </row>
    <row r="155" spans="1:11" x14ac:dyDescent="0.3">
      <c r="A155" s="11"/>
      <c r="B155" s="47" t="s">
        <v>115</v>
      </c>
      <c r="C155" s="49"/>
      <c r="D155" s="45" t="s">
        <v>26</v>
      </c>
      <c r="E155" s="45">
        <f>-E152</f>
        <v>-98</v>
      </c>
      <c r="F155" s="45">
        <v>1.2</v>
      </c>
      <c r="G155" s="45">
        <v>0.25</v>
      </c>
      <c r="H155" s="46">
        <v>0.4</v>
      </c>
      <c r="I155" s="50">
        <f>PRODUCT(E155:H155)</f>
        <v>-11.76</v>
      </c>
      <c r="J155" s="45" t="s">
        <v>23</v>
      </c>
      <c r="K155" s="50"/>
    </row>
    <row r="156" spans="1:11" x14ac:dyDescent="0.3">
      <c r="A156" s="11"/>
      <c r="B156" s="43"/>
      <c r="C156" s="11"/>
      <c r="D156" s="11"/>
      <c r="E156" s="11"/>
      <c r="F156" s="11"/>
      <c r="G156" s="43" t="s">
        <v>119</v>
      </c>
      <c r="H156" s="11"/>
      <c r="I156" s="8"/>
      <c r="J156" s="11"/>
      <c r="K156" s="84">
        <f>SUM(I152:I155)</f>
        <v>186.58399999999997</v>
      </c>
    </row>
    <row r="157" spans="1:11" x14ac:dyDescent="0.3">
      <c r="A157" s="11"/>
      <c r="B157" s="43"/>
      <c r="C157" s="11"/>
      <c r="D157" s="11"/>
      <c r="E157" s="11"/>
      <c r="F157" s="11"/>
      <c r="G157" s="11"/>
      <c r="H157" s="11"/>
      <c r="I157" s="8"/>
      <c r="J157" s="11"/>
      <c r="K157" s="69"/>
    </row>
    <row r="158" spans="1:11" x14ac:dyDescent="0.3">
      <c r="A158" s="51" t="s">
        <v>120</v>
      </c>
      <c r="B158" s="44" t="s">
        <v>121</v>
      </c>
      <c r="C158" s="45"/>
      <c r="D158" s="45"/>
      <c r="E158" s="45"/>
      <c r="F158" s="45"/>
      <c r="G158" s="45"/>
      <c r="H158" s="46"/>
      <c r="I158" s="8"/>
      <c r="J158" s="11"/>
      <c r="K158" s="69"/>
    </row>
    <row r="159" spans="1:11" x14ac:dyDescent="0.3">
      <c r="A159" s="11"/>
      <c r="B159" s="47" t="s">
        <v>115</v>
      </c>
      <c r="C159" s="49"/>
      <c r="D159" s="45" t="s">
        <v>26</v>
      </c>
      <c r="E159" s="45">
        <f>E152</f>
        <v>98</v>
      </c>
      <c r="F159" s="45">
        <v>1.2</v>
      </c>
      <c r="G159" s="45">
        <v>1.2</v>
      </c>
      <c r="H159" s="46">
        <v>0.1</v>
      </c>
      <c r="I159" s="50">
        <f>PRODUCT(E159:H159)</f>
        <v>14.111999999999998</v>
      </c>
      <c r="J159" s="45" t="s">
        <v>23</v>
      </c>
      <c r="K159" s="69"/>
    </row>
    <row r="160" spans="1:11" x14ac:dyDescent="0.3">
      <c r="A160" s="11"/>
      <c r="B160" s="47" t="s">
        <v>116</v>
      </c>
      <c r="C160" s="49"/>
      <c r="D160" s="45" t="s">
        <v>26</v>
      </c>
      <c r="E160" s="45">
        <v>1</v>
      </c>
      <c r="F160" s="45">
        <v>290</v>
      </c>
      <c r="G160" s="45">
        <v>0.25</v>
      </c>
      <c r="H160" s="46">
        <v>0.1</v>
      </c>
      <c r="I160" s="50">
        <f>PRODUCT(E160:H160)</f>
        <v>7.25</v>
      </c>
      <c r="J160" s="45" t="s">
        <v>23</v>
      </c>
      <c r="K160" s="69"/>
    </row>
    <row r="161" spans="1:11" x14ac:dyDescent="0.3">
      <c r="A161" s="11"/>
      <c r="B161" s="48" t="s">
        <v>117</v>
      </c>
      <c r="C161" s="49"/>
      <c r="D161" s="45"/>
      <c r="E161" s="45"/>
      <c r="F161" s="45"/>
      <c r="G161" s="45"/>
      <c r="H161" s="46"/>
      <c r="I161" s="8"/>
      <c r="J161" s="45"/>
      <c r="K161" s="69"/>
    </row>
    <row r="162" spans="1:11" x14ac:dyDescent="0.3">
      <c r="A162" s="11"/>
      <c r="B162" s="47" t="s">
        <v>115</v>
      </c>
      <c r="C162" s="49"/>
      <c r="D162" s="45" t="s">
        <v>26</v>
      </c>
      <c r="E162" s="45">
        <f>-E159</f>
        <v>-98</v>
      </c>
      <c r="F162" s="45">
        <v>1.2</v>
      </c>
      <c r="G162" s="45">
        <v>0.25</v>
      </c>
      <c r="H162" s="46">
        <v>0.1</v>
      </c>
      <c r="I162" s="50">
        <f>PRODUCT(E162:H162)</f>
        <v>-2.94</v>
      </c>
      <c r="J162" s="45" t="s">
        <v>23</v>
      </c>
      <c r="K162" s="50"/>
    </row>
    <row r="163" spans="1:11" x14ac:dyDescent="0.3">
      <c r="A163" s="11"/>
      <c r="B163" s="43"/>
      <c r="C163" s="11"/>
      <c r="D163" s="11"/>
      <c r="E163" s="11"/>
      <c r="F163" s="11"/>
      <c r="G163" s="43" t="s">
        <v>122</v>
      </c>
      <c r="H163" s="11"/>
      <c r="I163" s="8"/>
      <c r="J163" s="11"/>
      <c r="K163" s="84">
        <f>SUM(I159:I162)</f>
        <v>18.421999999999997</v>
      </c>
    </row>
    <row r="164" spans="1:11" x14ac:dyDescent="0.3">
      <c r="A164" s="11"/>
      <c r="B164" s="43"/>
      <c r="C164" s="11"/>
      <c r="D164" s="11"/>
      <c r="E164" s="11"/>
      <c r="F164" s="11"/>
      <c r="G164" s="11"/>
      <c r="H164" s="11"/>
      <c r="I164" s="8"/>
      <c r="J164" s="11"/>
      <c r="K164" s="69"/>
    </row>
    <row r="165" spans="1:11" x14ac:dyDescent="0.3">
      <c r="A165" s="51" t="s">
        <v>129</v>
      </c>
      <c r="B165" s="44" t="s">
        <v>123</v>
      </c>
      <c r="C165" s="45"/>
      <c r="D165" s="45"/>
      <c r="E165" s="45"/>
      <c r="F165" s="45"/>
      <c r="G165" s="45"/>
      <c r="H165" s="46"/>
      <c r="I165" s="8"/>
      <c r="J165" s="11"/>
      <c r="K165" s="69"/>
    </row>
    <row r="166" spans="1:11" x14ac:dyDescent="0.3">
      <c r="A166" s="11"/>
      <c r="B166" s="47" t="s">
        <v>124</v>
      </c>
      <c r="C166" s="49"/>
      <c r="D166" s="45" t="s">
        <v>26</v>
      </c>
      <c r="E166" s="45">
        <f>E159</f>
        <v>98</v>
      </c>
      <c r="F166" s="45">
        <v>1</v>
      </c>
      <c r="G166" s="45">
        <v>1</v>
      </c>
      <c r="H166" s="46">
        <v>0.25</v>
      </c>
      <c r="I166" s="50">
        <f>PRODUCT(E166:H166)</f>
        <v>24.5</v>
      </c>
      <c r="J166" s="45" t="s">
        <v>23</v>
      </c>
      <c r="K166" s="69"/>
    </row>
    <row r="167" spans="1:11" x14ac:dyDescent="0.3">
      <c r="A167" s="11"/>
      <c r="B167" s="87" t="s">
        <v>125</v>
      </c>
      <c r="C167" s="49"/>
      <c r="D167" s="88" t="s">
        <v>26</v>
      </c>
      <c r="E167" s="88">
        <f>E166</f>
        <v>98</v>
      </c>
      <c r="F167" s="88">
        <v>0.23</v>
      </c>
      <c r="G167" s="88">
        <v>0.23</v>
      </c>
      <c r="H167" s="89">
        <v>0.5</v>
      </c>
      <c r="I167" s="50">
        <f>PRODUCT(E167:H167)</f>
        <v>2.5921000000000003</v>
      </c>
      <c r="J167" s="88" t="s">
        <v>23</v>
      </c>
      <c r="K167" s="69"/>
    </row>
    <row r="168" spans="1:11" x14ac:dyDescent="0.3">
      <c r="A168" s="11"/>
      <c r="B168" s="47" t="s">
        <v>116</v>
      </c>
      <c r="C168" s="49"/>
      <c r="D168" s="45" t="s">
        <v>26</v>
      </c>
      <c r="E168" s="45">
        <v>1</v>
      </c>
      <c r="F168" s="45">
        <v>290</v>
      </c>
      <c r="G168" s="45">
        <v>0.23</v>
      </c>
      <c r="H168" s="46">
        <v>0.3</v>
      </c>
      <c r="I168" s="50">
        <f>PRODUCT(E168:H168)</f>
        <v>20.010000000000002</v>
      </c>
      <c r="J168" s="45" t="s">
        <v>23</v>
      </c>
      <c r="K168" s="69"/>
    </row>
    <row r="169" spans="1:11" x14ac:dyDescent="0.3">
      <c r="A169" s="11"/>
      <c r="B169" s="52" t="s">
        <v>126</v>
      </c>
      <c r="C169" s="49"/>
      <c r="D169" s="45" t="s">
        <v>26</v>
      </c>
      <c r="E169" s="45">
        <f>E166</f>
        <v>98</v>
      </c>
      <c r="F169" s="45">
        <v>0.23</v>
      </c>
      <c r="G169" s="45">
        <v>0.23</v>
      </c>
      <c r="H169" s="46">
        <v>3</v>
      </c>
      <c r="I169" s="50">
        <f>PRODUCT(E169:H169)</f>
        <v>15.552600000000002</v>
      </c>
      <c r="J169" s="45" t="s">
        <v>23</v>
      </c>
      <c r="K169" s="50"/>
    </row>
    <row r="170" spans="1:11" x14ac:dyDescent="0.3">
      <c r="A170" s="11"/>
      <c r="B170" s="52" t="s">
        <v>127</v>
      </c>
      <c r="C170" s="11"/>
      <c r="D170" s="45" t="s">
        <v>26</v>
      </c>
      <c r="E170" s="8">
        <v>1</v>
      </c>
      <c r="F170" s="45">
        <v>290</v>
      </c>
      <c r="G170" s="45">
        <v>0.23</v>
      </c>
      <c r="H170" s="46">
        <v>0.23</v>
      </c>
      <c r="I170" s="50">
        <f>PRODUCT(E170:H170)</f>
        <v>15.341000000000001</v>
      </c>
      <c r="J170" s="45" t="s">
        <v>23</v>
      </c>
      <c r="K170" s="50"/>
    </row>
    <row r="171" spans="1:11" x14ac:dyDescent="0.3">
      <c r="A171" s="11"/>
      <c r="B171" s="43"/>
      <c r="C171" s="11"/>
      <c r="D171" s="11"/>
      <c r="E171" s="11"/>
      <c r="F171" s="11"/>
      <c r="G171" s="43" t="s">
        <v>128</v>
      </c>
      <c r="H171" s="11"/>
      <c r="I171" s="8"/>
      <c r="J171" s="11"/>
      <c r="K171" s="84">
        <f>SUM(I166:I170)</f>
        <v>77.995699999999999</v>
      </c>
    </row>
    <row r="172" spans="1:11" x14ac:dyDescent="0.3">
      <c r="A172" s="11"/>
      <c r="B172" s="43"/>
      <c r="C172" s="11"/>
      <c r="D172" s="11"/>
      <c r="E172" s="11"/>
      <c r="F172" s="11"/>
      <c r="G172" s="11"/>
      <c r="H172" s="11"/>
      <c r="I172" s="11"/>
      <c r="J172" s="11"/>
      <c r="K172" s="69"/>
    </row>
    <row r="173" spans="1:11" x14ac:dyDescent="0.3">
      <c r="A173" s="51" t="s">
        <v>130</v>
      </c>
      <c r="B173" s="43" t="s">
        <v>131</v>
      </c>
      <c r="C173" s="11"/>
      <c r="D173" s="11"/>
      <c r="E173" s="11"/>
      <c r="F173" s="11"/>
      <c r="G173" s="11"/>
      <c r="H173" s="11"/>
      <c r="I173" s="11"/>
      <c r="J173" s="11"/>
      <c r="K173" s="69"/>
    </row>
    <row r="174" spans="1:11" x14ac:dyDescent="0.3">
      <c r="A174" s="11"/>
      <c r="B174" s="47" t="s">
        <v>132</v>
      </c>
      <c r="C174" s="11"/>
      <c r="D174" s="8" t="s">
        <v>26</v>
      </c>
      <c r="E174" s="8">
        <v>1</v>
      </c>
      <c r="F174" s="8">
        <v>290</v>
      </c>
      <c r="G174" s="8">
        <v>0.23</v>
      </c>
      <c r="H174" s="8">
        <f>3-0.23</f>
        <v>2.77</v>
      </c>
      <c r="I174" s="50">
        <f t="shared" ref="I174" si="22">PRODUCT(E174:H174)</f>
        <v>184.75900000000001</v>
      </c>
      <c r="J174" s="45" t="s">
        <v>23</v>
      </c>
      <c r="K174" s="50"/>
    </row>
    <row r="175" spans="1:11" x14ac:dyDescent="0.3">
      <c r="A175" s="11"/>
      <c r="B175" s="48" t="s">
        <v>117</v>
      </c>
      <c r="C175" s="11"/>
      <c r="D175" s="8"/>
      <c r="E175" s="8"/>
      <c r="F175" s="8"/>
      <c r="G175" s="8"/>
      <c r="H175" s="8"/>
      <c r="I175" s="8"/>
      <c r="J175" s="8"/>
      <c r="K175" s="50"/>
    </row>
    <row r="176" spans="1:11" x14ac:dyDescent="0.3">
      <c r="A176" s="11"/>
      <c r="B176" s="47" t="s">
        <v>133</v>
      </c>
      <c r="C176" s="11"/>
      <c r="D176" s="8" t="s">
        <v>26</v>
      </c>
      <c r="E176" s="8">
        <f>E162</f>
        <v>-98</v>
      </c>
      <c r="F176" s="8">
        <v>0.23</v>
      </c>
      <c r="G176" s="8">
        <v>0.23</v>
      </c>
      <c r="H176" s="8">
        <f>H174</f>
        <v>2.77</v>
      </c>
      <c r="I176" s="50">
        <f t="shared" ref="I176" si="23">PRODUCT(E176:H176)</f>
        <v>-14.360234000000002</v>
      </c>
      <c r="J176" s="45" t="s">
        <v>23</v>
      </c>
      <c r="K176" s="50"/>
    </row>
    <row r="177" spans="1:11" s="5" customFormat="1" x14ac:dyDescent="0.3">
      <c r="A177" s="11"/>
      <c r="B177" s="43"/>
      <c r="C177" s="11"/>
      <c r="D177" s="11"/>
      <c r="E177" s="11"/>
      <c r="F177" s="11"/>
      <c r="G177" s="11" t="s">
        <v>134</v>
      </c>
      <c r="H177" s="11"/>
      <c r="I177" s="11"/>
      <c r="J177" s="11"/>
      <c r="K177" s="50">
        <f>SUM(I174:I176)</f>
        <v>170.39876600000002</v>
      </c>
    </row>
    <row r="178" spans="1:11" s="5" customFormat="1" x14ac:dyDescent="0.3">
      <c r="A178" s="11"/>
      <c r="B178" s="43"/>
      <c r="C178" s="11"/>
      <c r="D178" s="11"/>
      <c r="E178" s="11"/>
      <c r="F178" s="11"/>
      <c r="G178" s="11"/>
      <c r="H178" s="11"/>
      <c r="I178" s="11"/>
      <c r="J178" s="11"/>
      <c r="K178" s="69"/>
    </row>
    <row r="179" spans="1:11" s="5" customFormat="1" x14ac:dyDescent="0.3">
      <c r="A179" s="51" t="s">
        <v>135</v>
      </c>
      <c r="B179" s="43" t="s">
        <v>136</v>
      </c>
      <c r="C179" s="11"/>
      <c r="D179" s="11"/>
      <c r="E179" s="11"/>
      <c r="F179" s="11"/>
      <c r="G179" s="11"/>
      <c r="H179" s="11"/>
      <c r="I179" s="11"/>
      <c r="J179" s="11"/>
      <c r="K179" s="69"/>
    </row>
    <row r="180" spans="1:11" s="5" customFormat="1" x14ac:dyDescent="0.3">
      <c r="A180" s="11"/>
      <c r="B180" s="47" t="s">
        <v>137</v>
      </c>
      <c r="C180" s="11"/>
      <c r="D180" s="11" t="s">
        <v>26</v>
      </c>
      <c r="E180" s="11">
        <v>2</v>
      </c>
      <c r="F180" s="11">
        <v>290</v>
      </c>
      <c r="G180" s="11"/>
      <c r="H180" s="11">
        <v>3</v>
      </c>
      <c r="I180" s="50">
        <f t="shared" ref="I180:I181" si="24">PRODUCT(E180:H180)</f>
        <v>1740</v>
      </c>
      <c r="J180" s="11" t="s">
        <v>29</v>
      </c>
      <c r="K180" s="69"/>
    </row>
    <row r="181" spans="1:11" s="5" customFormat="1" x14ac:dyDescent="0.3">
      <c r="A181" s="11"/>
      <c r="B181" s="47" t="s">
        <v>138</v>
      </c>
      <c r="C181" s="11"/>
      <c r="D181" s="11" t="s">
        <v>26</v>
      </c>
      <c r="E181" s="11">
        <v>1</v>
      </c>
      <c r="F181" s="11">
        <v>290</v>
      </c>
      <c r="G181" s="11">
        <v>0.25</v>
      </c>
      <c r="H181" s="11"/>
      <c r="I181" s="50">
        <f t="shared" si="24"/>
        <v>72.5</v>
      </c>
      <c r="J181" s="11" t="s">
        <v>29</v>
      </c>
      <c r="K181" s="69"/>
    </row>
    <row r="182" spans="1:11" s="5" customFormat="1" x14ac:dyDescent="0.3">
      <c r="A182" s="11"/>
      <c r="B182" s="43"/>
      <c r="C182" s="11"/>
      <c r="D182" s="11"/>
      <c r="E182" s="11"/>
      <c r="F182" s="11"/>
      <c r="G182" s="11" t="s">
        <v>139</v>
      </c>
      <c r="H182" s="11"/>
      <c r="I182" s="11"/>
      <c r="J182" s="11"/>
      <c r="K182" s="50">
        <f>SUM(I180:I181)</f>
        <v>1812.5</v>
      </c>
    </row>
    <row r="183" spans="1:11" s="5" customFormat="1" x14ac:dyDescent="0.3">
      <c r="A183" s="11"/>
      <c r="B183" s="43"/>
      <c r="C183" s="11"/>
      <c r="D183" s="11"/>
      <c r="E183" s="11"/>
      <c r="F183" s="11"/>
      <c r="G183" s="11"/>
      <c r="H183" s="11"/>
      <c r="I183" s="11"/>
      <c r="J183" s="11"/>
      <c r="K183" s="69"/>
    </row>
    <row r="184" spans="1:11" s="5" customFormat="1" x14ac:dyDescent="0.3">
      <c r="A184" s="51" t="s">
        <v>140</v>
      </c>
      <c r="B184" s="43" t="s">
        <v>141</v>
      </c>
      <c r="C184" s="11"/>
      <c r="D184" s="11"/>
      <c r="E184" s="11"/>
      <c r="F184" s="11"/>
      <c r="G184" s="11"/>
      <c r="H184" s="11"/>
      <c r="I184" s="11"/>
      <c r="J184" s="11"/>
      <c r="K184" s="69"/>
    </row>
    <row r="185" spans="1:11" s="5" customFormat="1" x14ac:dyDescent="0.3">
      <c r="A185" s="11"/>
      <c r="B185" s="47" t="s">
        <v>137</v>
      </c>
      <c r="C185" s="11"/>
      <c r="D185" s="11" t="s">
        <v>26</v>
      </c>
      <c r="E185" s="11">
        <v>2</v>
      </c>
      <c r="F185" s="11">
        <v>290</v>
      </c>
      <c r="G185" s="11"/>
      <c r="H185" s="11">
        <v>3</v>
      </c>
      <c r="I185" s="50">
        <f t="shared" ref="I185:I186" si="25">PRODUCT(E185:H185)</f>
        <v>1740</v>
      </c>
      <c r="J185" s="11" t="s">
        <v>29</v>
      </c>
      <c r="K185" s="69"/>
    </row>
    <row r="186" spans="1:11" s="5" customFormat="1" x14ac:dyDescent="0.3">
      <c r="A186" s="11"/>
      <c r="B186" s="47" t="s">
        <v>138</v>
      </c>
      <c r="C186" s="11"/>
      <c r="D186" s="11" t="s">
        <v>26</v>
      </c>
      <c r="E186" s="11">
        <v>1</v>
      </c>
      <c r="F186" s="11">
        <v>290</v>
      </c>
      <c r="G186" s="11">
        <v>0.25</v>
      </c>
      <c r="H186" s="11"/>
      <c r="I186" s="50">
        <f t="shared" si="25"/>
        <v>72.5</v>
      </c>
      <c r="J186" s="11" t="s">
        <v>29</v>
      </c>
      <c r="K186" s="69"/>
    </row>
    <row r="187" spans="1:11" s="5" customFormat="1" x14ac:dyDescent="0.3">
      <c r="A187" s="11"/>
      <c r="B187" s="43"/>
      <c r="C187" s="11"/>
      <c r="D187" s="11"/>
      <c r="E187" s="11"/>
      <c r="F187" s="11"/>
      <c r="G187" s="11" t="s">
        <v>142</v>
      </c>
      <c r="H187" s="11"/>
      <c r="I187" s="11"/>
      <c r="J187" s="11"/>
      <c r="K187" s="50">
        <f>SUM(I185:I186)</f>
        <v>1812.5</v>
      </c>
    </row>
    <row r="188" spans="1:11" s="5" customFormat="1" x14ac:dyDescent="0.3">
      <c r="A188" s="11"/>
      <c r="B188" s="43"/>
      <c r="C188" s="11"/>
      <c r="D188" s="11"/>
      <c r="E188" s="11"/>
      <c r="F188" s="11"/>
      <c r="G188" s="11"/>
      <c r="H188" s="11"/>
      <c r="I188" s="11"/>
      <c r="J188" s="11"/>
      <c r="K188" s="69"/>
    </row>
    <row r="189" spans="1:11" s="5" customFormat="1" x14ac:dyDescent="0.3">
      <c r="A189" s="51" t="s">
        <v>165</v>
      </c>
      <c r="B189" s="43" t="s">
        <v>166</v>
      </c>
      <c r="C189" s="11"/>
      <c r="D189" s="11" t="s">
        <v>26</v>
      </c>
      <c r="E189" s="11">
        <v>1</v>
      </c>
      <c r="F189" s="11"/>
      <c r="G189" s="11"/>
      <c r="H189" s="11"/>
      <c r="I189" s="86">
        <f>'BBS for boundary wall'!J14/1000</f>
        <v>5.7835699999999992</v>
      </c>
      <c r="J189" s="11" t="s">
        <v>42</v>
      </c>
      <c r="K189" s="69"/>
    </row>
    <row r="190" spans="1:11" s="5" customFormat="1" x14ac:dyDescent="0.3">
      <c r="A190" s="11"/>
      <c r="B190" s="43"/>
      <c r="C190" s="11"/>
      <c r="D190" s="11"/>
      <c r="E190" s="11"/>
      <c r="F190" s="11"/>
      <c r="G190" s="43" t="s">
        <v>167</v>
      </c>
      <c r="H190" s="11"/>
      <c r="I190" s="11"/>
      <c r="J190" s="11"/>
      <c r="K190" s="50">
        <f>SUM(I189)</f>
        <v>5.7835699999999992</v>
      </c>
    </row>
    <row r="191" spans="1:11" s="5" customFormat="1" x14ac:dyDescent="0.3">
      <c r="A191" s="11"/>
      <c r="B191" s="43"/>
      <c r="C191" s="11"/>
      <c r="D191" s="11"/>
      <c r="E191" s="11"/>
      <c r="F191" s="11"/>
      <c r="G191" s="11"/>
      <c r="H191" s="11"/>
      <c r="I191" s="11"/>
      <c r="J191" s="11"/>
      <c r="K191" s="69"/>
    </row>
    <row r="192" spans="1:11" s="5" customFormat="1" x14ac:dyDescent="0.3">
      <c r="A192" s="51" t="s">
        <v>45</v>
      </c>
      <c r="B192" s="43" t="s">
        <v>169</v>
      </c>
      <c r="C192" s="11"/>
      <c r="D192" s="11" t="s">
        <v>26</v>
      </c>
      <c r="E192" s="11">
        <v>1</v>
      </c>
      <c r="F192" s="11">
        <v>290</v>
      </c>
      <c r="G192" s="11"/>
      <c r="H192" s="11"/>
      <c r="I192" s="50">
        <f t="shared" ref="I192" si="26">PRODUCT(E192:H192)</f>
        <v>290</v>
      </c>
      <c r="J192" s="11" t="s">
        <v>27</v>
      </c>
      <c r="K192" s="69"/>
    </row>
    <row r="193" spans="1:11" s="5" customFormat="1" x14ac:dyDescent="0.3">
      <c r="A193" s="11"/>
      <c r="B193" s="43"/>
      <c r="C193" s="11"/>
      <c r="D193" s="11"/>
      <c r="E193" s="11"/>
      <c r="F193" s="11"/>
      <c r="G193" s="43" t="s">
        <v>167</v>
      </c>
      <c r="H193" s="11"/>
      <c r="I193" s="11"/>
      <c r="J193" s="11"/>
      <c r="K193" s="50">
        <f>SUM(I192)</f>
        <v>290</v>
      </c>
    </row>
    <row r="194" spans="1:11" s="5" customFormat="1" x14ac:dyDescent="0.3">
      <c r="A194" s="11"/>
      <c r="B194" s="43"/>
      <c r="C194" s="11"/>
      <c r="D194" s="11"/>
      <c r="E194" s="11"/>
      <c r="F194" s="11"/>
      <c r="G194" s="11"/>
      <c r="H194" s="11"/>
      <c r="I194" s="11"/>
      <c r="J194" s="11"/>
      <c r="K194" s="69"/>
    </row>
  </sheetData>
  <mergeCells count="7">
    <mergeCell ref="A2:K2"/>
    <mergeCell ref="C3:C4"/>
    <mergeCell ref="A3:A4"/>
    <mergeCell ref="B3:B4"/>
    <mergeCell ref="D3:D4"/>
    <mergeCell ref="E3:J3"/>
    <mergeCell ref="K3:K4"/>
  </mergeCells>
  <printOptions horizontalCentered="1"/>
  <pageMargins left="0.55118110236220474" right="0.55118110236220474" top="0.55118110236220474" bottom="0.55118110236220474" header="0.31496062992125984" footer="0.31496062992125984"/>
  <pageSetup paperSize="9" scale="91" fitToHeight="12" orientation="landscape" horizontalDpi="4294967294" r:id="rId1"/>
  <headerFooter>
    <oddHeader>&amp;A</oddHeader>
    <oddFooter>Page &amp;P of &amp;N</oddFooter>
  </headerFooter>
  <rowBreaks count="1" manualBreakCount="1">
    <brk id="172"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72AD3-7554-4365-A94D-9733D12D42BF}">
  <sheetPr>
    <pageSetUpPr fitToPage="1"/>
  </sheetPr>
  <dimension ref="B12:T83"/>
  <sheetViews>
    <sheetView view="pageBreakPreview" zoomScale="60" zoomScaleNormal="85" workbookViewId="0"/>
  </sheetViews>
  <sheetFormatPr defaultRowHeight="14.8" x14ac:dyDescent="0.3"/>
  <sheetData>
    <row r="12" spans="2:20" x14ac:dyDescent="0.3">
      <c r="B12" t="s">
        <v>55</v>
      </c>
      <c r="T12" s="7" t="s">
        <v>56</v>
      </c>
    </row>
    <row r="23" spans="3:19" x14ac:dyDescent="0.3">
      <c r="C23" s="1"/>
      <c r="S23" s="1"/>
    </row>
    <row r="24" spans="3:19" x14ac:dyDescent="0.3">
      <c r="C24" s="1"/>
      <c r="S24" s="1"/>
    </row>
    <row r="25" spans="3:19" x14ac:dyDescent="0.3">
      <c r="C25" s="1"/>
      <c r="S25" s="1"/>
    </row>
    <row r="26" spans="3:19" x14ac:dyDescent="0.3">
      <c r="C26" s="1"/>
      <c r="S26" s="1"/>
    </row>
    <row r="27" spans="3:19" x14ac:dyDescent="0.3">
      <c r="C27" s="1"/>
      <c r="S27" s="1"/>
    </row>
    <row r="28" spans="3:19" x14ac:dyDescent="0.3">
      <c r="C28" s="1"/>
      <c r="S28" s="1"/>
    </row>
    <row r="29" spans="3:19" x14ac:dyDescent="0.3">
      <c r="C29" s="1"/>
      <c r="S29" s="1"/>
    </row>
    <row r="30" spans="3:19" x14ac:dyDescent="0.3">
      <c r="C30" s="1"/>
      <c r="S30" s="1"/>
    </row>
    <row r="31" spans="3:19" x14ac:dyDescent="0.3">
      <c r="C31" s="1"/>
      <c r="S31" s="1"/>
    </row>
    <row r="32" spans="3:19" x14ac:dyDescent="0.3">
      <c r="C32" s="1"/>
      <c r="S32" s="1"/>
    </row>
    <row r="33" spans="3:19" x14ac:dyDescent="0.3">
      <c r="C33" s="1"/>
      <c r="S33" s="1"/>
    </row>
    <row r="34" spans="3:19" x14ac:dyDescent="0.3">
      <c r="C34" s="1"/>
      <c r="S34" s="1"/>
    </row>
    <row r="35" spans="3:19" x14ac:dyDescent="0.3">
      <c r="D35" t="s">
        <v>57</v>
      </c>
      <c r="M35" t="s">
        <v>57</v>
      </c>
    </row>
    <row r="36" spans="3:19" x14ac:dyDescent="0.3">
      <c r="E36">
        <v>6</v>
      </c>
      <c r="F36">
        <v>3</v>
      </c>
      <c r="G36">
        <f>F36*E36</f>
        <v>18</v>
      </c>
      <c r="N36">
        <v>6</v>
      </c>
      <c r="O36">
        <v>3</v>
      </c>
      <c r="P36">
        <f>O36*N36</f>
        <v>18</v>
      </c>
    </row>
    <row r="37" spans="3:19" x14ac:dyDescent="0.3">
      <c r="E37">
        <v>1.6</v>
      </c>
      <c r="F37">
        <v>2</v>
      </c>
      <c r="G37">
        <f t="shared" ref="G37:G53" si="0">F37*E37</f>
        <v>3.2</v>
      </c>
      <c r="N37">
        <v>1.6</v>
      </c>
      <c r="O37">
        <v>1.5</v>
      </c>
      <c r="P37">
        <f t="shared" ref="P37:P43" si="1">O37*N37</f>
        <v>2.4000000000000004</v>
      </c>
    </row>
    <row r="38" spans="3:19" x14ac:dyDescent="0.3">
      <c r="E38">
        <v>2</v>
      </c>
      <c r="F38">
        <v>1.5</v>
      </c>
      <c r="G38">
        <f t="shared" si="0"/>
        <v>3</v>
      </c>
      <c r="N38">
        <v>2</v>
      </c>
      <c r="O38">
        <v>1.5</v>
      </c>
      <c r="P38">
        <f t="shared" si="1"/>
        <v>3</v>
      </c>
    </row>
    <row r="39" spans="3:19" x14ac:dyDescent="0.3">
      <c r="E39">
        <v>1.5</v>
      </c>
      <c r="F39">
        <v>1.25</v>
      </c>
      <c r="G39">
        <f t="shared" si="0"/>
        <v>1.875</v>
      </c>
      <c r="N39">
        <v>1.5</v>
      </c>
      <c r="O39">
        <v>1.25</v>
      </c>
      <c r="P39">
        <f t="shared" si="1"/>
        <v>1.875</v>
      </c>
    </row>
    <row r="40" spans="3:19" x14ac:dyDescent="0.3">
      <c r="E40">
        <v>1.5</v>
      </c>
      <c r="F40">
        <v>1.25</v>
      </c>
      <c r="G40">
        <f t="shared" si="0"/>
        <v>1.875</v>
      </c>
      <c r="N40">
        <v>1.5</v>
      </c>
      <c r="O40">
        <v>1.25</v>
      </c>
      <c r="P40">
        <f t="shared" si="1"/>
        <v>1.875</v>
      </c>
    </row>
    <row r="41" spans="3:19" x14ac:dyDescent="0.3">
      <c r="E41">
        <v>2.5</v>
      </c>
      <c r="F41">
        <v>1.6</v>
      </c>
      <c r="G41">
        <f t="shared" si="0"/>
        <v>4</v>
      </c>
      <c r="N41">
        <v>1.5</v>
      </c>
      <c r="O41">
        <v>1.25</v>
      </c>
      <c r="P41">
        <f t="shared" si="1"/>
        <v>1.875</v>
      </c>
    </row>
    <row r="42" spans="3:19" x14ac:dyDescent="0.3">
      <c r="E42">
        <v>2</v>
      </c>
      <c r="F42">
        <v>1.5</v>
      </c>
      <c r="G42">
        <f t="shared" si="0"/>
        <v>3</v>
      </c>
      <c r="N42">
        <v>1.5</v>
      </c>
      <c r="O42">
        <v>1.25</v>
      </c>
      <c r="P42">
        <f t="shared" si="1"/>
        <v>1.875</v>
      </c>
    </row>
    <row r="43" spans="3:19" x14ac:dyDescent="0.3">
      <c r="N43">
        <v>2</v>
      </c>
      <c r="O43">
        <v>1.5</v>
      </c>
      <c r="P43">
        <f t="shared" si="1"/>
        <v>3</v>
      </c>
    </row>
    <row r="44" spans="3:19" x14ac:dyDescent="0.3">
      <c r="D44" t="s">
        <v>58</v>
      </c>
      <c r="E44">
        <v>20</v>
      </c>
      <c r="F44">
        <v>2.4380000000000002</v>
      </c>
      <c r="G44">
        <f t="shared" si="0"/>
        <v>48.760000000000005</v>
      </c>
      <c r="M44" t="s">
        <v>58</v>
      </c>
      <c r="N44">
        <v>20</v>
      </c>
      <c r="O44">
        <v>2.4380000000000002</v>
      </c>
      <c r="P44">
        <f t="shared" ref="P44:P47" si="2">O44*N44</f>
        <v>48.760000000000005</v>
      </c>
    </row>
    <row r="45" spans="3:19" x14ac:dyDescent="0.3">
      <c r="E45">
        <v>7</v>
      </c>
      <c r="F45">
        <f>F44</f>
        <v>2.4380000000000002</v>
      </c>
      <c r="G45">
        <f t="shared" si="0"/>
        <v>17.066000000000003</v>
      </c>
      <c r="N45">
        <v>7</v>
      </c>
      <c r="O45">
        <f>O44</f>
        <v>2.4380000000000002</v>
      </c>
      <c r="P45">
        <f t="shared" si="2"/>
        <v>17.066000000000003</v>
      </c>
    </row>
    <row r="46" spans="3:19" x14ac:dyDescent="0.3">
      <c r="E46">
        <v>5.5</v>
      </c>
      <c r="F46">
        <f>F45</f>
        <v>2.4380000000000002</v>
      </c>
      <c r="G46">
        <f t="shared" si="0"/>
        <v>13.409000000000001</v>
      </c>
      <c r="N46">
        <v>5.5</v>
      </c>
      <c r="O46">
        <f>O45</f>
        <v>2.4380000000000002</v>
      </c>
      <c r="P46">
        <f t="shared" si="2"/>
        <v>13.409000000000001</v>
      </c>
    </row>
    <row r="47" spans="3:19" x14ac:dyDescent="0.3">
      <c r="E47">
        <v>5.5</v>
      </c>
      <c r="F47">
        <f>F46</f>
        <v>2.4380000000000002</v>
      </c>
      <c r="G47">
        <f t="shared" si="0"/>
        <v>13.409000000000001</v>
      </c>
      <c r="N47">
        <v>5.5</v>
      </c>
      <c r="O47">
        <f>O46</f>
        <v>2.4380000000000002</v>
      </c>
      <c r="P47">
        <f t="shared" si="2"/>
        <v>13.409000000000001</v>
      </c>
    </row>
    <row r="48" spans="3:19" x14ac:dyDescent="0.3">
      <c r="E48">
        <v>7.2</v>
      </c>
      <c r="F48">
        <f>F47</f>
        <v>2.4380000000000002</v>
      </c>
      <c r="G48">
        <f>F48*E48</f>
        <v>17.553600000000003</v>
      </c>
      <c r="H48">
        <f>SUM(G36:G48)</f>
        <v>145.14760000000001</v>
      </c>
      <c r="I48">
        <v>1150</v>
      </c>
      <c r="N48">
        <v>7.2</v>
      </c>
      <c r="O48">
        <f>O47</f>
        <v>2.4380000000000002</v>
      </c>
      <c r="P48">
        <f>O48*N48</f>
        <v>17.553600000000003</v>
      </c>
      <c r="Q48">
        <f>SUM(P36:P48)</f>
        <v>144.0976</v>
      </c>
      <c r="R48">
        <v>1150</v>
      </c>
    </row>
    <row r="49" spans="4:18" x14ac:dyDescent="0.3">
      <c r="D49" t="s">
        <v>59</v>
      </c>
      <c r="M49" t="s">
        <v>59</v>
      </c>
    </row>
    <row r="50" spans="4:18" x14ac:dyDescent="0.3">
      <c r="E50">
        <v>3</v>
      </c>
      <c r="F50">
        <v>0.8</v>
      </c>
      <c r="G50">
        <f t="shared" si="0"/>
        <v>2.4000000000000004</v>
      </c>
      <c r="N50">
        <v>3</v>
      </c>
      <c r="O50">
        <v>0.8</v>
      </c>
      <c r="P50">
        <f t="shared" ref="P50" si="3">O50*N50</f>
        <v>2.4000000000000004</v>
      </c>
    </row>
    <row r="51" spans="4:18" x14ac:dyDescent="0.3">
      <c r="E51">
        <v>5</v>
      </c>
      <c r="F51">
        <v>1</v>
      </c>
      <c r="G51">
        <f t="shared" si="0"/>
        <v>5</v>
      </c>
    </row>
    <row r="52" spans="4:18" x14ac:dyDescent="0.3">
      <c r="E52">
        <v>5</v>
      </c>
      <c r="F52">
        <v>1</v>
      </c>
      <c r="G52">
        <f t="shared" si="0"/>
        <v>5</v>
      </c>
    </row>
    <row r="53" spans="4:18" x14ac:dyDescent="0.3">
      <c r="E53">
        <v>5</v>
      </c>
      <c r="F53">
        <v>1</v>
      </c>
      <c r="G53">
        <f t="shared" si="0"/>
        <v>5</v>
      </c>
    </row>
    <row r="54" spans="4:18" x14ac:dyDescent="0.3">
      <c r="H54">
        <f>SUM(G50:G54)</f>
        <v>17.399999999999999</v>
      </c>
      <c r="I54">
        <v>1450</v>
      </c>
      <c r="Q54">
        <f>SUM(P50:P54)</f>
        <v>2.4000000000000004</v>
      </c>
      <c r="R54">
        <v>1450</v>
      </c>
    </row>
    <row r="55" spans="4:18" x14ac:dyDescent="0.3">
      <c r="D55" t="s">
        <v>60</v>
      </c>
      <c r="M55" t="s">
        <v>60</v>
      </c>
    </row>
    <row r="56" spans="4:18" x14ac:dyDescent="0.3">
      <c r="E56">
        <v>6.5</v>
      </c>
      <c r="F56">
        <v>1.5</v>
      </c>
      <c r="G56">
        <f t="shared" ref="G56" si="4">F56*E56</f>
        <v>9.75</v>
      </c>
      <c r="H56">
        <f>G56</f>
        <v>9.75</v>
      </c>
      <c r="I56">
        <v>864</v>
      </c>
      <c r="N56">
        <v>6.5</v>
      </c>
      <c r="O56">
        <v>1.5</v>
      </c>
      <c r="P56">
        <f t="shared" ref="P56" si="5">O56*N56</f>
        <v>9.75</v>
      </c>
      <c r="Q56">
        <f>P56</f>
        <v>9.75</v>
      </c>
      <c r="R56">
        <v>864</v>
      </c>
    </row>
    <row r="59" spans="4:18" x14ac:dyDescent="0.3">
      <c r="D59" t="s">
        <v>61</v>
      </c>
      <c r="M59" t="s">
        <v>61</v>
      </c>
    </row>
    <row r="60" spans="4:18" x14ac:dyDescent="0.3">
      <c r="D60" t="s">
        <v>62</v>
      </c>
      <c r="F60">
        <v>2</v>
      </c>
      <c r="H60">
        <f>G60*F60</f>
        <v>0</v>
      </c>
      <c r="J60">
        <f>F60+O60</f>
        <v>4</v>
      </c>
      <c r="M60" t="s">
        <v>62</v>
      </c>
      <c r="O60">
        <v>2</v>
      </c>
      <c r="Q60">
        <f>P60*O60</f>
        <v>0</v>
      </c>
    </row>
    <row r="61" spans="4:18" x14ac:dyDescent="0.3">
      <c r="D61" t="s">
        <v>63</v>
      </c>
      <c r="F61">
        <v>2</v>
      </c>
      <c r="H61">
        <f t="shared" ref="H61:H83" si="6">G61*F61</f>
        <v>0</v>
      </c>
      <c r="J61">
        <f t="shared" ref="J61:J83" si="7">F61+O61</f>
        <v>4</v>
      </c>
      <c r="M61" t="s">
        <v>63</v>
      </c>
      <c r="O61">
        <v>2</v>
      </c>
      <c r="Q61">
        <f t="shared" ref="Q61:Q83" si="8">P61*O61</f>
        <v>0</v>
      </c>
    </row>
    <row r="62" spans="4:18" x14ac:dyDescent="0.3">
      <c r="D62" t="s">
        <v>64</v>
      </c>
      <c r="F62">
        <v>3</v>
      </c>
      <c r="H62">
        <f t="shared" si="6"/>
        <v>0</v>
      </c>
      <c r="J62">
        <f t="shared" si="7"/>
        <v>6</v>
      </c>
      <c r="M62" t="s">
        <v>64</v>
      </c>
      <c r="O62">
        <v>3</v>
      </c>
      <c r="Q62">
        <f t="shared" si="8"/>
        <v>0</v>
      </c>
    </row>
    <row r="63" spans="4:18" x14ac:dyDescent="0.3">
      <c r="D63" t="s">
        <v>65</v>
      </c>
      <c r="F63">
        <v>2</v>
      </c>
      <c r="H63">
        <f t="shared" si="6"/>
        <v>0</v>
      </c>
      <c r="J63">
        <f t="shared" si="7"/>
        <v>4</v>
      </c>
      <c r="M63" t="s">
        <v>65</v>
      </c>
      <c r="O63">
        <v>2</v>
      </c>
      <c r="Q63">
        <f t="shared" si="8"/>
        <v>0</v>
      </c>
    </row>
    <row r="64" spans="4:18" x14ac:dyDescent="0.3">
      <c r="D64" t="s">
        <v>66</v>
      </c>
      <c r="F64">
        <v>4</v>
      </c>
      <c r="H64">
        <f t="shared" si="6"/>
        <v>0</v>
      </c>
      <c r="J64">
        <f t="shared" si="7"/>
        <v>8</v>
      </c>
      <c r="M64" t="s">
        <v>66</v>
      </c>
      <c r="O64">
        <v>4</v>
      </c>
      <c r="Q64">
        <f t="shared" si="8"/>
        <v>0</v>
      </c>
    </row>
    <row r="65" spans="4:17" x14ac:dyDescent="0.3">
      <c r="D65" s="10" t="s">
        <v>67</v>
      </c>
      <c r="F65">
        <v>2</v>
      </c>
      <c r="H65">
        <f t="shared" si="6"/>
        <v>0</v>
      </c>
      <c r="J65">
        <f t="shared" si="7"/>
        <v>4</v>
      </c>
      <c r="M65" s="10" t="s">
        <v>67</v>
      </c>
      <c r="O65">
        <v>2</v>
      </c>
      <c r="Q65">
        <f t="shared" si="8"/>
        <v>0</v>
      </c>
    </row>
    <row r="66" spans="4:17" x14ac:dyDescent="0.3">
      <c r="D66" s="10" t="s">
        <v>68</v>
      </c>
      <c r="F66">
        <v>5</v>
      </c>
      <c r="H66">
        <f t="shared" si="6"/>
        <v>0</v>
      </c>
      <c r="J66">
        <f t="shared" si="7"/>
        <v>10</v>
      </c>
      <c r="M66" s="10" t="s">
        <v>68</v>
      </c>
      <c r="O66">
        <v>5</v>
      </c>
      <c r="Q66">
        <f t="shared" si="8"/>
        <v>0</v>
      </c>
    </row>
    <row r="67" spans="4:17" x14ac:dyDescent="0.3">
      <c r="D67" s="10" t="s">
        <v>69</v>
      </c>
      <c r="F67">
        <v>5</v>
      </c>
      <c r="H67">
        <f t="shared" si="6"/>
        <v>0</v>
      </c>
      <c r="J67">
        <f t="shared" si="7"/>
        <v>10</v>
      </c>
      <c r="M67" s="10" t="s">
        <v>69</v>
      </c>
      <c r="O67">
        <v>5</v>
      </c>
      <c r="Q67">
        <f t="shared" si="8"/>
        <v>0</v>
      </c>
    </row>
    <row r="68" spans="4:17" x14ac:dyDescent="0.3">
      <c r="D68" s="10" t="s">
        <v>70</v>
      </c>
      <c r="F68">
        <v>2</v>
      </c>
      <c r="H68">
        <f t="shared" si="6"/>
        <v>0</v>
      </c>
      <c r="J68">
        <f t="shared" si="7"/>
        <v>4</v>
      </c>
      <c r="M68" s="10" t="s">
        <v>70</v>
      </c>
      <c r="O68">
        <v>2</v>
      </c>
      <c r="Q68">
        <f t="shared" si="8"/>
        <v>0</v>
      </c>
    </row>
    <row r="69" spans="4:17" x14ac:dyDescent="0.3">
      <c r="D69" s="10" t="s">
        <v>71</v>
      </c>
      <c r="F69">
        <v>2</v>
      </c>
      <c r="H69">
        <f t="shared" si="6"/>
        <v>0</v>
      </c>
      <c r="J69">
        <f t="shared" si="7"/>
        <v>4</v>
      </c>
      <c r="M69" s="10" t="s">
        <v>71</v>
      </c>
      <c r="O69">
        <v>2</v>
      </c>
      <c r="Q69">
        <f t="shared" si="8"/>
        <v>0</v>
      </c>
    </row>
    <row r="70" spans="4:17" x14ac:dyDescent="0.3">
      <c r="D70" s="10" t="s">
        <v>72</v>
      </c>
      <c r="F70">
        <v>4</v>
      </c>
      <c r="H70">
        <f t="shared" si="6"/>
        <v>0</v>
      </c>
      <c r="J70">
        <f t="shared" si="7"/>
        <v>8</v>
      </c>
      <c r="M70" s="10" t="s">
        <v>72</v>
      </c>
      <c r="O70">
        <v>4</v>
      </c>
      <c r="Q70">
        <f t="shared" si="8"/>
        <v>0</v>
      </c>
    </row>
    <row r="71" spans="4:17" x14ac:dyDescent="0.3">
      <c r="D71" s="10" t="s">
        <v>73</v>
      </c>
      <c r="F71">
        <v>10</v>
      </c>
      <c r="H71">
        <f t="shared" si="6"/>
        <v>0</v>
      </c>
      <c r="J71">
        <f t="shared" si="7"/>
        <v>20</v>
      </c>
      <c r="M71" s="10" t="s">
        <v>73</v>
      </c>
      <c r="O71">
        <v>10</v>
      </c>
      <c r="Q71">
        <f t="shared" si="8"/>
        <v>0</v>
      </c>
    </row>
    <row r="72" spans="4:17" x14ac:dyDescent="0.3">
      <c r="D72" s="10" t="s">
        <v>74</v>
      </c>
      <c r="F72">
        <v>5</v>
      </c>
      <c r="H72">
        <f t="shared" si="6"/>
        <v>0</v>
      </c>
      <c r="J72">
        <f t="shared" si="7"/>
        <v>10</v>
      </c>
      <c r="M72" s="10" t="s">
        <v>74</v>
      </c>
      <c r="O72">
        <v>5</v>
      </c>
      <c r="Q72">
        <f t="shared" si="8"/>
        <v>0</v>
      </c>
    </row>
    <row r="73" spans="4:17" x14ac:dyDescent="0.3">
      <c r="D73" s="10" t="s">
        <v>75</v>
      </c>
      <c r="F73">
        <v>10</v>
      </c>
      <c r="H73">
        <f t="shared" si="6"/>
        <v>0</v>
      </c>
      <c r="J73">
        <f t="shared" si="7"/>
        <v>20</v>
      </c>
      <c r="M73" s="10" t="s">
        <v>75</v>
      </c>
      <c r="O73">
        <v>10</v>
      </c>
      <c r="Q73">
        <f t="shared" si="8"/>
        <v>0</v>
      </c>
    </row>
    <row r="74" spans="4:17" x14ac:dyDescent="0.3">
      <c r="D74" s="10" t="s">
        <v>76</v>
      </c>
      <c r="F74">
        <v>8</v>
      </c>
      <c r="H74">
        <f t="shared" si="6"/>
        <v>0</v>
      </c>
      <c r="J74">
        <f t="shared" si="7"/>
        <v>16</v>
      </c>
      <c r="M74" s="10" t="s">
        <v>76</v>
      </c>
      <c r="O74">
        <v>8</v>
      </c>
      <c r="Q74">
        <f t="shared" si="8"/>
        <v>0</v>
      </c>
    </row>
    <row r="75" spans="4:17" x14ac:dyDescent="0.3">
      <c r="D75" s="10" t="s">
        <v>77</v>
      </c>
      <c r="F75">
        <v>2</v>
      </c>
      <c r="H75">
        <f t="shared" si="6"/>
        <v>0</v>
      </c>
      <c r="J75">
        <f t="shared" si="7"/>
        <v>4</v>
      </c>
      <c r="M75" s="10" t="s">
        <v>77</v>
      </c>
      <c r="O75">
        <v>2</v>
      </c>
      <c r="Q75">
        <f t="shared" si="8"/>
        <v>0</v>
      </c>
    </row>
    <row r="76" spans="4:17" x14ac:dyDescent="0.3">
      <c r="D76" s="10" t="s">
        <v>78</v>
      </c>
      <c r="F76">
        <v>2</v>
      </c>
      <c r="H76">
        <f t="shared" si="6"/>
        <v>0</v>
      </c>
      <c r="J76">
        <f t="shared" si="7"/>
        <v>4</v>
      </c>
      <c r="M76" s="10" t="s">
        <v>78</v>
      </c>
      <c r="O76">
        <v>2</v>
      </c>
      <c r="Q76">
        <f t="shared" si="8"/>
        <v>0</v>
      </c>
    </row>
    <row r="77" spans="4:17" x14ac:dyDescent="0.3">
      <c r="D77" s="10" t="s">
        <v>79</v>
      </c>
      <c r="F77">
        <v>1</v>
      </c>
      <c r="H77">
        <f t="shared" si="6"/>
        <v>0</v>
      </c>
      <c r="J77">
        <f t="shared" si="7"/>
        <v>2</v>
      </c>
      <c r="M77" s="10" t="s">
        <v>79</v>
      </c>
      <c r="O77">
        <v>1</v>
      </c>
      <c r="Q77">
        <f t="shared" si="8"/>
        <v>0</v>
      </c>
    </row>
    <row r="78" spans="4:17" x14ac:dyDescent="0.3">
      <c r="D78" s="10" t="s">
        <v>80</v>
      </c>
      <c r="F78">
        <v>2</v>
      </c>
      <c r="H78">
        <f t="shared" si="6"/>
        <v>0</v>
      </c>
      <c r="J78">
        <f t="shared" si="7"/>
        <v>4</v>
      </c>
      <c r="M78" s="10" t="s">
        <v>80</v>
      </c>
      <c r="O78">
        <v>2</v>
      </c>
      <c r="Q78">
        <f t="shared" si="8"/>
        <v>0</v>
      </c>
    </row>
    <row r="79" spans="4:17" x14ac:dyDescent="0.3">
      <c r="D79" s="10" t="s">
        <v>81</v>
      </c>
      <c r="F79">
        <v>10</v>
      </c>
      <c r="H79">
        <f t="shared" si="6"/>
        <v>0</v>
      </c>
      <c r="J79">
        <f t="shared" si="7"/>
        <v>20</v>
      </c>
      <c r="M79" s="10" t="s">
        <v>81</v>
      </c>
      <c r="O79">
        <v>10</v>
      </c>
      <c r="Q79">
        <f t="shared" si="8"/>
        <v>0</v>
      </c>
    </row>
    <row r="80" spans="4:17" x14ac:dyDescent="0.3">
      <c r="D80" s="10" t="s">
        <v>82</v>
      </c>
      <c r="F80">
        <v>10</v>
      </c>
      <c r="H80">
        <f t="shared" si="6"/>
        <v>0</v>
      </c>
      <c r="J80">
        <f t="shared" si="7"/>
        <v>20</v>
      </c>
      <c r="M80" s="10" t="s">
        <v>82</v>
      </c>
      <c r="O80">
        <v>10</v>
      </c>
      <c r="Q80">
        <f t="shared" si="8"/>
        <v>0</v>
      </c>
    </row>
    <row r="81" spans="4:17" x14ac:dyDescent="0.3">
      <c r="D81" s="10" t="s">
        <v>83</v>
      </c>
      <c r="F81">
        <v>10</v>
      </c>
      <c r="H81">
        <f t="shared" si="6"/>
        <v>0</v>
      </c>
      <c r="J81">
        <f t="shared" si="7"/>
        <v>20</v>
      </c>
      <c r="M81" s="10" t="s">
        <v>83</v>
      </c>
      <c r="O81">
        <v>10</v>
      </c>
      <c r="Q81">
        <f t="shared" si="8"/>
        <v>0</v>
      </c>
    </row>
    <row r="82" spans="4:17" x14ac:dyDescent="0.3">
      <c r="D82" s="10" t="s">
        <v>84</v>
      </c>
      <c r="F82">
        <v>2</v>
      </c>
      <c r="H82">
        <f t="shared" si="6"/>
        <v>0</v>
      </c>
      <c r="J82">
        <f t="shared" si="7"/>
        <v>4</v>
      </c>
      <c r="M82" s="10" t="s">
        <v>84</v>
      </c>
      <c r="O82">
        <v>2</v>
      </c>
      <c r="Q82">
        <f t="shared" si="8"/>
        <v>0</v>
      </c>
    </row>
    <row r="83" spans="4:17" x14ac:dyDescent="0.3">
      <c r="D83" s="10" t="s">
        <v>85</v>
      </c>
      <c r="F83">
        <v>1</v>
      </c>
      <c r="H83">
        <f t="shared" si="6"/>
        <v>0</v>
      </c>
      <c r="J83">
        <f t="shared" si="7"/>
        <v>2</v>
      </c>
      <c r="M83" s="10" t="s">
        <v>85</v>
      </c>
      <c r="O83">
        <v>1</v>
      </c>
      <c r="Q83">
        <f t="shared" si="8"/>
        <v>0</v>
      </c>
    </row>
  </sheetData>
  <printOptions horizontalCentered="1"/>
  <pageMargins left="0.55118110236220474" right="0.55118110236220474" top="0.55118110236220474" bottom="0.55118110236220474" header="0.31496062992125984" footer="0.31496062992125984"/>
  <pageSetup paperSize="9" scale="77" fitToHeight="2" orientation="landscape" horizontalDpi="4294967294" r:id="rId1"/>
  <headerFooter>
    <oddHeader>&amp;A</oddHeader>
    <oddFooter>Page &amp;P of &amp;N</oddFooter>
  </headerFooter>
  <rowBreaks count="1" manualBreakCount="1">
    <brk id="4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26E23-CF7F-467C-8652-032D76FDBDDF}">
  <sheetPr>
    <pageSetUpPr fitToPage="1"/>
  </sheetPr>
  <dimension ref="B2:H16"/>
  <sheetViews>
    <sheetView view="pageBreakPreview" zoomScaleNormal="100" zoomScaleSheetLayoutView="100" workbookViewId="0"/>
  </sheetViews>
  <sheetFormatPr defaultRowHeight="14.8" x14ac:dyDescent="0.3"/>
  <cols>
    <col min="1" max="1" width="4.21875" customWidth="1"/>
    <col min="3" max="3" width="23.5546875" style="9" customWidth="1"/>
    <col min="4" max="4" width="10.77734375" style="9" customWidth="1"/>
    <col min="6" max="6" width="10.77734375" style="66" bestFit="1" customWidth="1"/>
    <col min="7" max="7" width="13.44140625" style="66" bestFit="1" customWidth="1"/>
    <col min="8" max="8" width="27.109375" customWidth="1"/>
  </cols>
  <sheetData>
    <row r="2" spans="2:8" x14ac:dyDescent="0.3">
      <c r="B2" s="189" t="s">
        <v>108</v>
      </c>
      <c r="C2" s="189"/>
      <c r="D2" s="189"/>
      <c r="E2" s="189"/>
      <c r="F2" s="189"/>
      <c r="G2" s="189"/>
      <c r="H2" s="189"/>
    </row>
    <row r="3" spans="2:8" x14ac:dyDescent="0.3">
      <c r="B3" s="2" t="s">
        <v>106</v>
      </c>
      <c r="C3" s="2" t="s">
        <v>107</v>
      </c>
      <c r="D3" s="2" t="s">
        <v>8</v>
      </c>
      <c r="E3" s="2" t="s">
        <v>7</v>
      </c>
      <c r="F3" s="65" t="s">
        <v>46</v>
      </c>
      <c r="G3" s="65" t="s">
        <v>47</v>
      </c>
      <c r="H3" s="2" t="s">
        <v>97</v>
      </c>
    </row>
    <row r="4" spans="2:8" x14ac:dyDescent="0.3">
      <c r="B4" s="3">
        <v>1</v>
      </c>
      <c r="C4" s="4" t="s">
        <v>185</v>
      </c>
      <c r="D4" s="4" t="s">
        <v>22</v>
      </c>
      <c r="E4" s="3">
        <v>4</v>
      </c>
      <c r="F4" s="6"/>
      <c r="G4" s="6">
        <f>F4*E4</f>
        <v>0</v>
      </c>
      <c r="H4" s="4"/>
    </row>
    <row r="5" spans="2:8" x14ac:dyDescent="0.3">
      <c r="B5" s="3">
        <f>B4+1</f>
        <v>2</v>
      </c>
      <c r="C5" s="4" t="s">
        <v>63</v>
      </c>
      <c r="D5" s="4" t="s">
        <v>22</v>
      </c>
      <c r="E5" s="3">
        <v>4</v>
      </c>
      <c r="F5" s="6"/>
      <c r="G5" s="6">
        <f t="shared" ref="G5:G15" si="0">F5*E5</f>
        <v>0</v>
      </c>
      <c r="H5" s="4"/>
    </row>
    <row r="6" spans="2:8" x14ac:dyDescent="0.3">
      <c r="B6" s="3">
        <f t="shared" ref="B6:B14" si="1">B5+1</f>
        <v>3</v>
      </c>
      <c r="C6" s="4" t="s">
        <v>186</v>
      </c>
      <c r="D6" s="4" t="s">
        <v>22</v>
      </c>
      <c r="E6" s="3">
        <v>6</v>
      </c>
      <c r="F6" s="6"/>
      <c r="G6" s="6">
        <f t="shared" si="0"/>
        <v>0</v>
      </c>
      <c r="H6" s="4"/>
    </row>
    <row r="7" spans="2:8" x14ac:dyDescent="0.3">
      <c r="B7" s="3">
        <f t="shared" si="1"/>
        <v>4</v>
      </c>
      <c r="C7" s="4" t="s">
        <v>65</v>
      </c>
      <c r="D7" s="4" t="s">
        <v>22</v>
      </c>
      <c r="E7" s="3">
        <v>4</v>
      </c>
      <c r="F7" s="102"/>
      <c r="G7" s="102">
        <f t="shared" si="0"/>
        <v>0</v>
      </c>
      <c r="H7" s="91"/>
    </row>
    <row r="8" spans="2:8" x14ac:dyDescent="0.3">
      <c r="B8" s="3">
        <f t="shared" si="1"/>
        <v>5</v>
      </c>
      <c r="C8" s="4" t="s">
        <v>66</v>
      </c>
      <c r="D8" s="4" t="s">
        <v>22</v>
      </c>
      <c r="E8" s="3">
        <v>8</v>
      </c>
      <c r="F8" s="6"/>
      <c r="G8" s="6">
        <f t="shared" si="0"/>
        <v>0</v>
      </c>
      <c r="H8" s="4"/>
    </row>
    <row r="9" spans="2:8" x14ac:dyDescent="0.3">
      <c r="B9" s="3">
        <f t="shared" si="1"/>
        <v>6</v>
      </c>
      <c r="C9" s="34" t="s">
        <v>67</v>
      </c>
      <c r="D9" s="34" t="s">
        <v>22</v>
      </c>
      <c r="E9" s="3">
        <v>4</v>
      </c>
      <c r="F9" s="6"/>
      <c r="G9" s="6">
        <f t="shared" si="0"/>
        <v>0</v>
      </c>
      <c r="H9" s="4"/>
    </row>
    <row r="10" spans="2:8" x14ac:dyDescent="0.3">
      <c r="B10" s="3">
        <f t="shared" si="1"/>
        <v>7</v>
      </c>
      <c r="C10" s="34" t="s">
        <v>68</v>
      </c>
      <c r="D10" s="34" t="s">
        <v>22</v>
      </c>
      <c r="E10" s="3">
        <v>10</v>
      </c>
      <c r="F10" s="6"/>
      <c r="G10" s="6">
        <f t="shared" si="0"/>
        <v>0</v>
      </c>
      <c r="H10" s="4"/>
    </row>
    <row r="11" spans="2:8" x14ac:dyDescent="0.3">
      <c r="B11" s="3">
        <f t="shared" si="1"/>
        <v>8</v>
      </c>
      <c r="C11" s="34" t="s">
        <v>69</v>
      </c>
      <c r="D11" s="34" t="s">
        <v>22</v>
      </c>
      <c r="E11" s="3">
        <v>10</v>
      </c>
      <c r="F11" s="6"/>
      <c r="G11" s="6">
        <f t="shared" si="0"/>
        <v>0</v>
      </c>
      <c r="H11" s="4"/>
    </row>
    <row r="12" spans="2:8" x14ac:dyDescent="0.3">
      <c r="B12" s="3">
        <f t="shared" si="1"/>
        <v>9</v>
      </c>
      <c r="C12" s="34" t="s">
        <v>187</v>
      </c>
      <c r="D12" s="34" t="s">
        <v>22</v>
      </c>
      <c r="E12" s="3">
        <v>4</v>
      </c>
      <c r="F12" s="6"/>
      <c r="G12" s="6">
        <f t="shared" si="0"/>
        <v>0</v>
      </c>
      <c r="H12" s="4"/>
    </row>
    <row r="13" spans="2:8" x14ac:dyDescent="0.3">
      <c r="B13" s="3">
        <f t="shared" si="1"/>
        <v>10</v>
      </c>
      <c r="C13" s="34" t="s">
        <v>79</v>
      </c>
      <c r="D13" s="34" t="s">
        <v>22</v>
      </c>
      <c r="E13" s="3">
        <v>2</v>
      </c>
      <c r="F13" s="102"/>
      <c r="G13" s="102">
        <f t="shared" si="0"/>
        <v>0</v>
      </c>
      <c r="H13" s="4"/>
    </row>
    <row r="14" spans="2:8" x14ac:dyDescent="0.3">
      <c r="B14" s="3">
        <f t="shared" si="1"/>
        <v>11</v>
      </c>
      <c r="C14" s="34" t="s">
        <v>80</v>
      </c>
      <c r="D14" s="34" t="s">
        <v>22</v>
      </c>
      <c r="E14" s="3">
        <v>4</v>
      </c>
      <c r="F14" s="102"/>
      <c r="G14" s="102">
        <f t="shared" si="0"/>
        <v>0</v>
      </c>
      <c r="H14" s="3"/>
    </row>
    <row r="15" spans="2:8" x14ac:dyDescent="0.3">
      <c r="B15" s="3">
        <f>B14+1</f>
        <v>12</v>
      </c>
      <c r="C15" s="34" t="s">
        <v>84</v>
      </c>
      <c r="D15" s="34" t="s">
        <v>22</v>
      </c>
      <c r="E15" s="3">
        <v>4</v>
      </c>
      <c r="F15" s="102"/>
      <c r="G15" s="102">
        <f t="shared" si="0"/>
        <v>0</v>
      </c>
      <c r="H15" s="4"/>
    </row>
    <row r="16" spans="2:8" x14ac:dyDescent="0.3">
      <c r="B16" s="190" t="s">
        <v>98</v>
      </c>
      <c r="C16" s="190"/>
      <c r="D16" s="190"/>
      <c r="E16" s="190"/>
      <c r="F16" s="190"/>
      <c r="G16" s="67">
        <f>SUM(G4:G15)</f>
        <v>0</v>
      </c>
      <c r="H16" s="68"/>
    </row>
  </sheetData>
  <mergeCells count="2">
    <mergeCell ref="B2:H2"/>
    <mergeCell ref="B16:F16"/>
  </mergeCells>
  <printOptions horizontalCentered="1"/>
  <pageMargins left="0.55118110236220474" right="0.55118110236220474" top="0.55118110236220474" bottom="0.55118110236220474" header="0.31496062992125984" footer="0.31496062992125984"/>
  <pageSetup paperSize="9" scale="86" orientation="portrait" horizontalDpi="4294967294" r:id="rId1"/>
  <headerFooter>
    <oddHeader>&amp;A</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2FB4C-3E62-4487-8E5D-F3DDF7707598}">
  <dimension ref="B5:T21"/>
  <sheetViews>
    <sheetView view="pageBreakPreview" zoomScale="60" zoomScaleNormal="100" workbookViewId="0"/>
  </sheetViews>
  <sheetFormatPr defaultRowHeight="14.8" x14ac:dyDescent="0.3"/>
  <cols>
    <col min="19" max="19" width="9.6640625" bestFit="1" customWidth="1"/>
  </cols>
  <sheetData>
    <row r="5" spans="2:20" x14ac:dyDescent="0.3">
      <c r="B5" t="s">
        <v>50</v>
      </c>
    </row>
    <row r="6" spans="2:20" x14ac:dyDescent="0.3">
      <c r="L6" s="92" t="s">
        <v>174</v>
      </c>
      <c r="M6" s="92" t="s">
        <v>147</v>
      </c>
      <c r="N6" s="92" t="s">
        <v>176</v>
      </c>
      <c r="O6" s="92" t="s">
        <v>177</v>
      </c>
      <c r="P6" s="92" t="s">
        <v>178</v>
      </c>
      <c r="Q6" s="92" t="s">
        <v>7</v>
      </c>
      <c r="R6" s="92" t="s">
        <v>8</v>
      </c>
      <c r="S6" s="92" t="s">
        <v>46</v>
      </c>
      <c r="T6" s="92" t="s">
        <v>47</v>
      </c>
    </row>
    <row r="7" spans="2:20" x14ac:dyDescent="0.3">
      <c r="L7" s="93" t="s">
        <v>180</v>
      </c>
      <c r="M7" s="93">
        <v>1</v>
      </c>
      <c r="N7" s="93">
        <f>N8</f>
        <v>1</v>
      </c>
      <c r="O7" s="93">
        <f>O10</f>
        <v>1</v>
      </c>
      <c r="P7" s="93">
        <v>0.1</v>
      </c>
      <c r="Q7" s="93">
        <f>PRODUCT(M7:P7)</f>
        <v>0.1</v>
      </c>
      <c r="R7" s="93" t="s">
        <v>23</v>
      </c>
      <c r="S7" s="94"/>
      <c r="T7" s="94"/>
    </row>
    <row r="8" spans="2:20" x14ac:dyDescent="0.3">
      <c r="L8" s="93" t="s">
        <v>181</v>
      </c>
      <c r="M8" s="93">
        <v>1</v>
      </c>
      <c r="N8" s="93">
        <v>1</v>
      </c>
      <c r="O8" s="93">
        <v>0.8</v>
      </c>
      <c r="P8" s="93">
        <v>0.1</v>
      </c>
      <c r="Q8" s="93">
        <f>PRODUCT(M8:P8)</f>
        <v>8.0000000000000016E-2</v>
      </c>
      <c r="R8" s="93" t="s">
        <v>23</v>
      </c>
      <c r="S8" s="94"/>
      <c r="T8" s="94"/>
    </row>
    <row r="9" spans="2:20" x14ac:dyDescent="0.3">
      <c r="L9" s="93" t="s">
        <v>182</v>
      </c>
      <c r="M9" s="93">
        <v>2</v>
      </c>
      <c r="N9" s="93">
        <v>1</v>
      </c>
      <c r="O9" s="93">
        <v>0.1</v>
      </c>
      <c r="P9" s="93">
        <v>0.65</v>
      </c>
      <c r="Q9" s="93">
        <f>PRODUCT(M9:P9)</f>
        <v>0.13</v>
      </c>
      <c r="R9" s="93" t="s">
        <v>23</v>
      </c>
      <c r="S9" s="94"/>
      <c r="T9" s="94"/>
    </row>
    <row r="10" spans="2:20" x14ac:dyDescent="0.3">
      <c r="L10" s="93" t="s">
        <v>183</v>
      </c>
      <c r="M10" s="93">
        <v>1</v>
      </c>
      <c r="N10" s="93">
        <v>1</v>
      </c>
      <c r="O10" s="93">
        <f>0.8+0.1+0.1</f>
        <v>1</v>
      </c>
      <c r="P10" s="93">
        <v>0.1</v>
      </c>
      <c r="Q10" s="93">
        <f>PRODUCT(M10:P10)</f>
        <v>0.1</v>
      </c>
      <c r="R10" s="93" t="s">
        <v>23</v>
      </c>
      <c r="S10" s="94"/>
      <c r="T10" s="94"/>
    </row>
    <row r="11" spans="2:20" x14ac:dyDescent="0.3">
      <c r="L11" s="93" t="s">
        <v>179</v>
      </c>
      <c r="M11" s="93">
        <v>1</v>
      </c>
      <c r="N11" s="93"/>
      <c r="O11" s="93"/>
      <c r="P11" s="93"/>
      <c r="Q11" s="93">
        <f>SUM(Q7:Q10)*0.05</f>
        <v>2.0500000000000004E-2</v>
      </c>
      <c r="R11" s="93" t="s">
        <v>42</v>
      </c>
      <c r="S11" s="94"/>
      <c r="T11" s="94"/>
    </row>
    <row r="12" spans="2:20" x14ac:dyDescent="0.3">
      <c r="B12" t="s">
        <v>51</v>
      </c>
      <c r="I12" s="9" t="s">
        <v>52</v>
      </c>
      <c r="L12" s="93"/>
      <c r="M12" s="93"/>
      <c r="N12" s="93"/>
      <c r="O12" s="93"/>
      <c r="P12" s="93"/>
      <c r="Q12" s="93"/>
      <c r="R12" s="93"/>
      <c r="S12" s="93"/>
      <c r="T12" s="95"/>
    </row>
    <row r="15" spans="2:20" x14ac:dyDescent="0.3">
      <c r="E15" t="s">
        <v>53</v>
      </c>
    </row>
    <row r="18" spans="2:9" x14ac:dyDescent="0.3">
      <c r="B18" t="s">
        <v>50</v>
      </c>
      <c r="I18" s="7" t="s">
        <v>48</v>
      </c>
    </row>
    <row r="21" spans="2:9" x14ac:dyDescent="0.3">
      <c r="C21" s="191" t="s">
        <v>49</v>
      </c>
      <c r="D21" s="191"/>
      <c r="E21" s="191"/>
      <c r="F21" s="191"/>
      <c r="G21" s="191"/>
    </row>
  </sheetData>
  <mergeCells count="1">
    <mergeCell ref="C21:G21"/>
  </mergeCells>
  <printOptions horizontalCentered="1"/>
  <pageMargins left="0.55118110236220474" right="0.55118110236220474" top="0.55118110236220474" bottom="0.55118110236220474" header="0.31496062992125984" footer="0.31496062992125984"/>
  <pageSetup paperSize="9" fitToWidth="2" orientation="landscape" horizontalDpi="4294967294" r:id="rId1"/>
  <headerFooter>
    <oddHeader>&amp;A</oddHeader>
    <oddFooter>Page &amp;P of &amp;N</oddFooter>
  </headerFooter>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E2834-EAE0-4F8F-B9BD-534FE665CA34}">
  <dimension ref="A1:K14"/>
  <sheetViews>
    <sheetView showGridLines="0" view="pageBreakPreview" zoomScale="95" zoomScaleSheetLayoutView="95" workbookViewId="0">
      <pane ySplit="3" topLeftCell="A4" activePane="bottomLeft" state="frozen"/>
      <selection pane="bottomLeft" activeCell="A4" sqref="A4"/>
    </sheetView>
  </sheetViews>
  <sheetFormatPr defaultColWidth="10.109375" defaultRowHeight="14.8" x14ac:dyDescent="0.3"/>
  <cols>
    <col min="1" max="1" width="9.33203125" style="53" customWidth="1"/>
    <col min="2" max="2" width="28" style="53" bestFit="1" customWidth="1"/>
    <col min="3" max="3" width="11" style="58" customWidth="1"/>
    <col min="4" max="4" width="39.44140625" style="59" customWidth="1"/>
    <col min="5" max="5" width="12.5546875" style="60" customWidth="1"/>
    <col min="6" max="6" width="9.33203125" style="61" customWidth="1"/>
    <col min="7" max="7" width="11.88671875" style="61" customWidth="1"/>
    <col min="8" max="8" width="9.88671875" style="61" customWidth="1"/>
    <col min="9" max="9" width="14.44140625" style="62" bestFit="1" customWidth="1"/>
    <col min="10" max="10" width="9.88671875" style="63" customWidth="1"/>
    <col min="11" max="11" width="15.5546875" style="64" customWidth="1"/>
    <col min="12" max="12" width="11.21875" style="53" customWidth="1"/>
    <col min="13" max="13" width="12.33203125" style="53" bestFit="1" customWidth="1"/>
    <col min="14" max="14" width="10.109375" style="53"/>
    <col min="15" max="15" width="7.6640625" style="53" bestFit="1" customWidth="1"/>
    <col min="16" max="16384" width="10.109375" style="53"/>
  </cols>
  <sheetData>
    <row r="1" spans="1:11" ht="35.049999999999997" customHeight="1" x14ac:dyDescent="0.3">
      <c r="A1" s="192" t="s">
        <v>143</v>
      </c>
      <c r="B1" s="192"/>
      <c r="C1" s="192"/>
      <c r="D1" s="192"/>
      <c r="E1" s="192"/>
      <c r="F1" s="192"/>
      <c r="G1" s="192"/>
      <c r="H1" s="192"/>
      <c r="I1" s="192"/>
      <c r="J1" s="192"/>
      <c r="K1" s="192"/>
    </row>
    <row r="2" spans="1:11" ht="14.95" customHeight="1" x14ac:dyDescent="0.3">
      <c r="A2" s="193" t="s">
        <v>144</v>
      </c>
      <c r="B2" s="194"/>
      <c r="C2" s="194"/>
      <c r="D2" s="194"/>
      <c r="E2" s="194"/>
      <c r="F2" s="194"/>
      <c r="G2" s="194"/>
      <c r="H2" s="194"/>
      <c r="I2" s="194"/>
      <c r="J2" s="194"/>
      <c r="K2" s="194"/>
    </row>
    <row r="3" spans="1:11" s="54" customFormat="1" ht="29.6" x14ac:dyDescent="0.3">
      <c r="A3" s="167" t="s">
        <v>145</v>
      </c>
      <c r="B3" s="167" t="s">
        <v>146</v>
      </c>
      <c r="C3" s="167" t="s">
        <v>147</v>
      </c>
      <c r="D3" s="167" t="s">
        <v>148</v>
      </c>
      <c r="E3" s="168" t="s">
        <v>149</v>
      </c>
      <c r="F3" s="168" t="s">
        <v>150</v>
      </c>
      <c r="G3" s="168" t="s">
        <v>151</v>
      </c>
      <c r="H3" s="168" t="s">
        <v>152</v>
      </c>
      <c r="I3" s="168" t="s">
        <v>153</v>
      </c>
      <c r="J3" s="168" t="s">
        <v>154</v>
      </c>
      <c r="K3" s="169" t="s">
        <v>97</v>
      </c>
    </row>
    <row r="4" spans="1:11" ht="41.3" customHeight="1" x14ac:dyDescent="0.3">
      <c r="A4" s="55">
        <v>1</v>
      </c>
      <c r="B4" s="55" t="s">
        <v>155</v>
      </c>
      <c r="C4" s="55">
        <v>97</v>
      </c>
      <c r="D4" s="55"/>
      <c r="E4" s="55">
        <f>SUM(0.9+(2*0.2)-(2*2*(H4/1000)))</f>
        <v>1.26</v>
      </c>
      <c r="F4" s="56">
        <f>(900/150)+1</f>
        <v>7</v>
      </c>
      <c r="G4" s="55">
        <f>SUM(C4*E4*F4)</f>
        <v>855.54</v>
      </c>
      <c r="H4" s="55">
        <v>10</v>
      </c>
      <c r="I4" s="55">
        <f t="shared" ref="I4:I11" si="0">ROUND(SUM((H4*H4)/162),2)</f>
        <v>0.62</v>
      </c>
      <c r="J4" s="55">
        <f t="shared" ref="J4:J13" si="1">ROUND(SUM(G4*I4),2)</f>
        <v>530.42999999999995</v>
      </c>
      <c r="K4" s="55"/>
    </row>
    <row r="5" spans="1:11" ht="41.3" customHeight="1" x14ac:dyDescent="0.3">
      <c r="A5" s="55">
        <f>A4+1</f>
        <v>2</v>
      </c>
      <c r="B5" s="55" t="s">
        <v>156</v>
      </c>
      <c r="C5" s="55">
        <v>97</v>
      </c>
      <c r="D5" s="55"/>
      <c r="E5" s="55">
        <f>SUM(0.9+(2*0.2)-(2*2*(H5/1000)))</f>
        <v>1.26</v>
      </c>
      <c r="F5" s="56">
        <f>(900/150)+1</f>
        <v>7</v>
      </c>
      <c r="G5" s="55">
        <f t="shared" ref="G5:G9" si="2">SUM(C5*E5*F5)</f>
        <v>855.54</v>
      </c>
      <c r="H5" s="55">
        <v>10</v>
      </c>
      <c r="I5" s="55">
        <f t="shared" ref="I5" si="3">ROUND(SUM((H5*H5)/162),2)</f>
        <v>0.62</v>
      </c>
      <c r="J5" s="55">
        <f t="shared" si="1"/>
        <v>530.42999999999995</v>
      </c>
      <c r="K5" s="55"/>
    </row>
    <row r="6" spans="1:11" ht="115.1" customHeight="1" x14ac:dyDescent="0.3">
      <c r="A6" s="55">
        <f t="shared" ref="A6:A13" si="4">A5+1</f>
        <v>3</v>
      </c>
      <c r="B6" s="55" t="s">
        <v>157</v>
      </c>
      <c r="C6" s="55">
        <v>97</v>
      </c>
      <c r="D6" s="55"/>
      <c r="E6" s="55">
        <f>SUM(4.05+(0.3+0.15)-(2*2*(H6/1000)))</f>
        <v>4.452</v>
      </c>
      <c r="F6" s="56">
        <v>4</v>
      </c>
      <c r="G6" s="55">
        <f t="shared" si="2"/>
        <v>1727.376</v>
      </c>
      <c r="H6" s="55">
        <v>12</v>
      </c>
      <c r="I6" s="55">
        <f t="shared" si="0"/>
        <v>0.89</v>
      </c>
      <c r="J6" s="55">
        <f t="shared" si="1"/>
        <v>1537.36</v>
      </c>
      <c r="K6" s="55"/>
    </row>
    <row r="7" spans="1:11" ht="84.05" customHeight="1" x14ac:dyDescent="0.3">
      <c r="A7" s="55">
        <f t="shared" si="4"/>
        <v>4</v>
      </c>
      <c r="B7" s="55" t="s">
        <v>158</v>
      </c>
      <c r="C7" s="55">
        <v>97</v>
      </c>
      <c r="D7" s="55"/>
      <c r="E7" s="55">
        <f>(2*(0.2+0.2))+(24*(H7/1000))-(4*2*(H7/1000))</f>
        <v>0.92799999999999994</v>
      </c>
      <c r="F7" s="56">
        <f>(4.05/0.2)+1</f>
        <v>21.249999999999996</v>
      </c>
      <c r="G7" s="55">
        <f t="shared" si="2"/>
        <v>1912.8399999999995</v>
      </c>
      <c r="H7" s="55">
        <v>8</v>
      </c>
      <c r="I7" s="55">
        <f t="shared" si="0"/>
        <v>0.4</v>
      </c>
      <c r="J7" s="55">
        <f t="shared" si="1"/>
        <v>765.14</v>
      </c>
      <c r="K7" s="55"/>
    </row>
    <row r="8" spans="1:11" ht="44.55" customHeight="1" x14ac:dyDescent="0.3">
      <c r="A8" s="55">
        <f t="shared" si="4"/>
        <v>5</v>
      </c>
      <c r="B8" s="55" t="s">
        <v>159</v>
      </c>
      <c r="C8" s="55">
        <v>1</v>
      </c>
      <c r="D8" s="55"/>
      <c r="E8" s="55">
        <f>SUM(290+(0.3+0.15)-(2*2*(H8/1000)))</f>
        <v>290.40199999999999</v>
      </c>
      <c r="F8" s="56">
        <v>2</v>
      </c>
      <c r="G8" s="55">
        <f t="shared" si="2"/>
        <v>580.80399999999997</v>
      </c>
      <c r="H8" s="55">
        <v>12</v>
      </c>
      <c r="I8" s="55">
        <f t="shared" si="0"/>
        <v>0.89</v>
      </c>
      <c r="J8" s="55">
        <f t="shared" si="1"/>
        <v>516.91999999999996</v>
      </c>
      <c r="K8" s="55"/>
    </row>
    <row r="9" spans="1:11" ht="44.55" customHeight="1" x14ac:dyDescent="0.3">
      <c r="A9" s="55">
        <f t="shared" si="4"/>
        <v>6</v>
      </c>
      <c r="B9" s="55" t="s">
        <v>160</v>
      </c>
      <c r="C9" s="55">
        <v>1</v>
      </c>
      <c r="D9" s="55"/>
      <c r="E9" s="55">
        <f>SUM(290+(0.3+0.15)-(2*2*(H9/1000)))</f>
        <v>290.40199999999999</v>
      </c>
      <c r="F9" s="56">
        <v>2</v>
      </c>
      <c r="G9" s="55">
        <f t="shared" si="2"/>
        <v>580.80399999999997</v>
      </c>
      <c r="H9" s="55">
        <v>12</v>
      </c>
      <c r="I9" s="55">
        <f t="shared" ref="I9" si="5">ROUND(SUM((H9*H9)/162),2)</f>
        <v>0.89</v>
      </c>
      <c r="J9" s="55">
        <f t="shared" si="1"/>
        <v>516.91999999999996</v>
      </c>
      <c r="K9" s="55"/>
    </row>
    <row r="10" spans="1:11" ht="77" customHeight="1" x14ac:dyDescent="0.3">
      <c r="A10" s="55">
        <f t="shared" si="4"/>
        <v>7</v>
      </c>
      <c r="B10" s="55" t="s">
        <v>161</v>
      </c>
      <c r="C10" s="55">
        <v>1</v>
      </c>
      <c r="D10" s="55"/>
      <c r="E10" s="55">
        <f>(2*(0.2+0.25))+(24*(H10/1000))-(4*2*(H10/1000))</f>
        <v>1.028</v>
      </c>
      <c r="F10" s="56">
        <f>(130/0.2)+1</f>
        <v>651</v>
      </c>
      <c r="G10" s="55">
        <f>E10*F10</f>
        <v>669.22800000000007</v>
      </c>
      <c r="H10" s="55">
        <v>8</v>
      </c>
      <c r="I10" s="55">
        <f t="shared" si="0"/>
        <v>0.4</v>
      </c>
      <c r="J10" s="55">
        <f t="shared" si="1"/>
        <v>267.69</v>
      </c>
      <c r="K10" s="55"/>
    </row>
    <row r="11" spans="1:11" ht="77" customHeight="1" x14ac:dyDescent="0.3">
      <c r="A11" s="55">
        <f t="shared" si="4"/>
        <v>8</v>
      </c>
      <c r="B11" s="55" t="s">
        <v>162</v>
      </c>
      <c r="C11" s="55">
        <v>1</v>
      </c>
      <c r="D11" s="55"/>
      <c r="E11" s="55">
        <f>SUM(290+(0.3+0.15)-(2*2*(H11/1000)))</f>
        <v>290.40999999999997</v>
      </c>
      <c r="F11" s="56">
        <v>2</v>
      </c>
      <c r="G11" s="55">
        <f t="shared" ref="G11:G12" si="6">SUM(C11*E11*F11)</f>
        <v>580.81999999999994</v>
      </c>
      <c r="H11" s="55">
        <v>10</v>
      </c>
      <c r="I11" s="55">
        <f t="shared" si="0"/>
        <v>0.62</v>
      </c>
      <c r="J11" s="55">
        <f t="shared" si="1"/>
        <v>360.11</v>
      </c>
      <c r="K11" s="55"/>
    </row>
    <row r="12" spans="1:11" ht="77" customHeight="1" x14ac:dyDescent="0.3">
      <c r="A12" s="55">
        <f t="shared" si="4"/>
        <v>9</v>
      </c>
      <c r="B12" s="55" t="s">
        <v>163</v>
      </c>
      <c r="C12" s="55">
        <v>1</v>
      </c>
      <c r="D12" s="55"/>
      <c r="E12" s="55">
        <f>SUM(290+(0.3+0.15)-(2*2*(H12/1000)))</f>
        <v>290.40199999999999</v>
      </c>
      <c r="F12" s="56">
        <v>2</v>
      </c>
      <c r="G12" s="55">
        <f t="shared" si="6"/>
        <v>580.80399999999997</v>
      </c>
      <c r="H12" s="55">
        <v>12</v>
      </c>
      <c r="I12" s="55">
        <f t="shared" ref="I12" si="7">ROUND(SUM((H12*H12)/162),2)</f>
        <v>0.89</v>
      </c>
      <c r="J12" s="55">
        <f t="shared" si="1"/>
        <v>516.91999999999996</v>
      </c>
      <c r="K12" s="55"/>
    </row>
    <row r="13" spans="1:11" ht="77" customHeight="1" x14ac:dyDescent="0.3">
      <c r="A13" s="55">
        <f t="shared" si="4"/>
        <v>10</v>
      </c>
      <c r="B13" s="55" t="s">
        <v>164</v>
      </c>
      <c r="C13" s="55">
        <v>1</v>
      </c>
      <c r="D13" s="55"/>
      <c r="E13" s="55">
        <f>(2*(0.2+0.2))+(24*(H13/1000))-(4*2*(H13/1000))</f>
        <v>0.92799999999999994</v>
      </c>
      <c r="F13" s="56">
        <f>(130/0.2)+1</f>
        <v>651</v>
      </c>
      <c r="G13" s="55">
        <f>E13*F13</f>
        <v>604.12799999999993</v>
      </c>
      <c r="H13" s="55">
        <v>8</v>
      </c>
      <c r="I13" s="55">
        <f t="shared" ref="I13" si="8">ROUND(SUM((H13*H13)/162),2)</f>
        <v>0.4</v>
      </c>
      <c r="J13" s="55">
        <f t="shared" si="1"/>
        <v>241.65</v>
      </c>
      <c r="K13" s="55"/>
    </row>
    <row r="14" spans="1:11" x14ac:dyDescent="0.3">
      <c r="A14" s="57"/>
      <c r="B14" s="57"/>
      <c r="C14" s="57"/>
      <c r="D14" s="57"/>
      <c r="E14" s="57"/>
      <c r="F14" s="57"/>
      <c r="G14" s="57"/>
      <c r="H14" s="57"/>
      <c r="I14" s="57"/>
      <c r="J14" s="57">
        <f>SUM(J4:J13)</f>
        <v>5783.5699999999988</v>
      </c>
      <c r="K14" s="57"/>
    </row>
  </sheetData>
  <mergeCells count="2">
    <mergeCell ref="A1:K1"/>
    <mergeCell ref="A2:K2"/>
  </mergeCells>
  <printOptions horizontalCentered="1"/>
  <pageMargins left="0.59055118110236227" right="0.59055118110236227" top="0.59055118110236227" bottom="0.59055118110236227" header="0.15748031496062992" footer="0.23622047244094491"/>
  <pageSetup scale="73" fitToHeight="2" orientation="landscape" horizontalDpi="300" verticalDpi="300" r:id="rId1"/>
  <headerFooter>
    <oddHeader>&amp;A</oddHeader>
    <oddFooter>Page &amp;P of &amp;N</oddFooter>
  </headerFooter>
  <rowBreaks count="1" manualBreakCount="1">
    <brk id="1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C0D75D5B5104469FCBE70298D74DFC" ma:contentTypeVersion="15" ma:contentTypeDescription="Create a new document." ma:contentTypeScope="" ma:versionID="1b38d90354bb0542e32df1db58774ca0">
  <xsd:schema xmlns:xsd="http://www.w3.org/2001/XMLSchema" xmlns:xs="http://www.w3.org/2001/XMLSchema" xmlns:p="http://schemas.microsoft.com/office/2006/metadata/properties" xmlns:ns3="66371a60-420a-486a-bddb-e6844ab99ec8" xmlns:ns4="55d6c6fe-934f-47ac-a9e5-ef3e4435d4d4" targetNamespace="http://schemas.microsoft.com/office/2006/metadata/properties" ma:root="true" ma:fieldsID="0cb055ee8f2d11d369185520629dac44" ns3:_="" ns4:_="">
    <xsd:import namespace="66371a60-420a-486a-bddb-e6844ab99ec8"/>
    <xsd:import namespace="55d6c6fe-934f-47ac-a9e5-ef3e4435d4d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_activity" minOccurs="0"/>
                <xsd:element ref="ns4:SharedWithUsers" minOccurs="0"/>
                <xsd:element ref="ns4:SharedWithDetails" minOccurs="0"/>
                <xsd:element ref="ns4:SharingHintHash" minOccurs="0"/>
                <xsd:element ref="ns3:MediaServiceSearchPropertie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371a60-420a-486a-bddb-e6844ab99e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d6c6fe-934f-47ac-a9e5-ef3e4435d4d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6371a60-420a-486a-bddb-e6844ab99ec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71E818-755B-4C72-B4CF-DC6183A8A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371a60-420a-486a-bddb-e6844ab99ec8"/>
    <ds:schemaRef ds:uri="55d6c6fe-934f-47ac-a9e5-ef3e4435d4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FA9824-F932-4210-B00E-7F329BD021AD}">
  <ds:schemaRefs>
    <ds:schemaRef ds:uri="http://schemas.microsoft.com/office/2006/documentManagement/types"/>
    <ds:schemaRef ds:uri="http://www.w3.org/XML/1998/namespace"/>
    <ds:schemaRef ds:uri="http://purl.org/dc/terms/"/>
    <ds:schemaRef ds:uri="55d6c6fe-934f-47ac-a9e5-ef3e4435d4d4"/>
    <ds:schemaRef ds:uri="http://schemas.microsoft.com/office/2006/metadata/properties"/>
    <ds:schemaRef ds:uri="http://schemas.microsoft.com/office/infopath/2007/PartnerControls"/>
    <ds:schemaRef ds:uri="http://purl.org/dc/dcmitype/"/>
    <ds:schemaRef ds:uri="http://schemas.openxmlformats.org/package/2006/metadata/core-properties"/>
    <ds:schemaRef ds:uri="66371a60-420a-486a-bddb-e6844ab99ec8"/>
    <ds:schemaRef ds:uri="http://purl.org/dc/elements/1.1/"/>
  </ds:schemaRefs>
</ds:datastoreItem>
</file>

<file path=customXml/itemProps3.xml><?xml version="1.0" encoding="utf-8"?>
<ds:datastoreItem xmlns:ds="http://schemas.openxmlformats.org/officeDocument/2006/customXml" ds:itemID="{F43D4E5B-0E91-49A1-88C0-9F66940F50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Abstract</vt:lpstr>
      <vt:lpstr>Toll Plaza</vt:lpstr>
      <vt:lpstr>Toilet Block Drawing</vt:lpstr>
      <vt:lpstr>Annexure I</vt:lpstr>
      <vt:lpstr>Drain Drawing</vt:lpstr>
      <vt:lpstr>BBS for boundary wall</vt:lpstr>
      <vt:lpstr>Abstract!Print_Area</vt:lpstr>
      <vt:lpstr>'Toll Plaza'!Print_Area</vt:lpstr>
      <vt:lpstr>Abstract!Print_Titles</vt:lpstr>
      <vt:lpstr>'BBS for boundary wall'!Print_Titles</vt:lpstr>
      <vt:lpstr>'Toll Plaza'!Print_Titles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Arif Shakoor</dc:creator>
  <cp:lastModifiedBy>Sanjeev Kumar Sharma</cp:lastModifiedBy>
  <cp:lastPrinted>2026-05-11T16:08:18Z</cp:lastPrinted>
  <dcterms:created xsi:type="dcterms:W3CDTF">2025-04-24T09:18:15Z</dcterms:created>
  <dcterms:modified xsi:type="dcterms:W3CDTF">2026-05-11T16:10:39Z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0x0101000FC0D75D5B5104469FCBE70298D74DFC</vt:lpwstr>
  </property>
</Properties>
</file>